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codeName="{2109D909-C6D8-E34B-4C66-09127ED2DC46}"/>
  <workbookPr codeName="ThisWorkbook"/>
  <mc:AlternateContent xmlns:mc="http://schemas.openxmlformats.org/markup-compatibility/2006">
    <mc:Choice Requires="x15">
      <x15ac:absPath xmlns:x15ac="http://schemas.microsoft.com/office/spreadsheetml/2010/11/ac" url="C:\Users\USER_SYSTEM_01\Desktop\"/>
    </mc:Choice>
  </mc:AlternateContent>
  <xr:revisionPtr revIDLastSave="0" documentId="13_ncr:1_{D72D3E18-28F1-4AC5-BA19-497781F7EDFA}" xr6:coauthVersionLast="45" xr6:coauthVersionMax="45" xr10:uidLastSave="{00000000-0000-0000-0000-000000000000}"/>
  <bookViews>
    <workbookView xWindow="1164" yWindow="360" windowWidth="21672" windowHeight="11568" tabRatio="681" xr2:uid="{00000000-000D-0000-FFFF-FFFF00000000}"/>
  </bookViews>
  <sheets>
    <sheet name="■散布量計算シート" sheetId="1" r:id="rId1"/>
    <sheet name="作業シート" sheetId="5" state="hidden" r:id="rId2"/>
    <sheet name="車速表" sheetId="3" state="hidden" r:id="rId3"/>
    <sheet name="吐出量表" sheetId="4" state="hidden" r:id="rId4"/>
    <sheet name="追加登録" sheetId="6" state="hidden" r:id="rId5"/>
  </sheets>
  <definedNames>
    <definedName name="_xlnm.Print_Area" localSheetId="0">■散布量計算シート!$B$1:$L$63</definedName>
    <definedName name="_xlnm.Print_Area" localSheetId="1">作業シート!$N$3:$X$47</definedName>
    <definedName name="ノズル吐出量">吐出量表!$A$2:$D$17</definedName>
    <definedName name="散布幅">吐出量表!$F$2:$F$12</definedName>
    <definedName name="製品名">OFFSET(車速表!$A$3,0,0,COUNTA(車速表!$A:$A)-2,1)</definedName>
    <definedName name="走行距離">吐出量表!$F$2:$G$12</definedName>
    <definedName name="噴板名称">吐出量表!$A$2:$A$17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1" i="1" l="1"/>
  <c r="D40" i="1" l="1"/>
  <c r="D17" i="1" l="1"/>
  <c r="W20" i="5" l="1"/>
  <c r="W39" i="5"/>
  <c r="P39" i="5"/>
  <c r="P20" i="5"/>
  <c r="I18" i="1" l="1"/>
  <c r="L18" i="1" l="1"/>
  <c r="AD10" i="3" l="1"/>
  <c r="AC10" i="3" s="1"/>
  <c r="AB10" i="3" s="1"/>
  <c r="AA10" i="3" s="1"/>
  <c r="Y10" i="3"/>
  <c r="X10" i="3" s="1"/>
  <c r="V10" i="3"/>
  <c r="T10" i="3"/>
  <c r="S10" i="3" s="1"/>
  <c r="R10" i="3" s="1"/>
  <c r="Q10" i="3" s="1"/>
  <c r="O10" i="3"/>
  <c r="N10" i="3" s="1"/>
  <c r="L10" i="3"/>
  <c r="J10" i="3"/>
  <c r="I10" i="3" s="1"/>
  <c r="G10" i="3"/>
  <c r="E10" i="3"/>
  <c r="D10" i="3" s="1"/>
  <c r="B10" i="3"/>
  <c r="AD12" i="3" l="1"/>
  <c r="AC12" i="3" s="1"/>
  <c r="AB12" i="3" s="1"/>
  <c r="AA12" i="3" s="1"/>
  <c r="Y12" i="3"/>
  <c r="X12" i="3" s="1"/>
  <c r="V12" i="3"/>
  <c r="T12" i="3"/>
  <c r="S12" i="3" s="1"/>
  <c r="R12" i="3" s="1"/>
  <c r="Q12" i="3" s="1"/>
  <c r="O12" i="3"/>
  <c r="N12" i="3" s="1"/>
  <c r="L12" i="3"/>
  <c r="J12" i="3"/>
  <c r="I12" i="3" s="1"/>
  <c r="H12" i="3" s="1"/>
  <c r="G12" i="3" s="1"/>
  <c r="E12" i="3"/>
  <c r="D12" i="3" s="1"/>
  <c r="B12" i="3"/>
  <c r="AD14" i="3" l="1"/>
  <c r="AC14" i="3" s="1"/>
  <c r="AA14" i="3"/>
  <c r="Y14" i="3"/>
  <c r="X14" i="3" s="1"/>
  <c r="V14" i="3"/>
  <c r="T14" i="3"/>
  <c r="S14" i="3" s="1"/>
  <c r="Q14" i="3"/>
  <c r="O14" i="3"/>
  <c r="N14" i="3" s="1"/>
  <c r="L14" i="3"/>
  <c r="J14" i="3"/>
  <c r="I14" i="3" s="1"/>
  <c r="G14" i="3"/>
  <c r="E14" i="3"/>
  <c r="D14" i="3" s="1"/>
  <c r="B14" i="3"/>
  <c r="AD21" i="3"/>
  <c r="AC21" i="3" s="1"/>
  <c r="AB21" i="3" s="1"/>
  <c r="AA21" i="3" s="1"/>
  <c r="Y21" i="3"/>
  <c r="X21" i="3" s="1"/>
  <c r="V21" i="3"/>
  <c r="T21" i="3"/>
  <c r="S21" i="3" s="1"/>
  <c r="R21" i="3" s="1"/>
  <c r="Q21" i="3" s="1"/>
  <c r="O21" i="3"/>
  <c r="N21" i="3" s="1"/>
  <c r="L21" i="3"/>
  <c r="J21" i="3"/>
  <c r="I21" i="3" s="1"/>
  <c r="H21" i="3" s="1"/>
  <c r="G21" i="3" s="1"/>
  <c r="E21" i="3"/>
  <c r="D21" i="3" s="1"/>
  <c r="B21" i="3"/>
  <c r="L41" i="1" l="1"/>
  <c r="P3" i="5" l="1"/>
  <c r="AD3" i="3" l="1"/>
  <c r="AC3" i="3" s="1"/>
  <c r="AB3" i="3" s="1"/>
  <c r="AA3" i="3" s="1"/>
  <c r="Y3" i="3"/>
  <c r="X3" i="3" s="1"/>
  <c r="W3" i="3" s="1"/>
  <c r="V3" i="3" s="1"/>
  <c r="T3" i="3"/>
  <c r="S3" i="3" s="1"/>
  <c r="R3" i="3" s="1"/>
  <c r="Q3" i="3" s="1"/>
  <c r="O3" i="3"/>
  <c r="N3" i="3" s="1"/>
  <c r="M3" i="3" s="1"/>
  <c r="L3" i="3" s="1"/>
  <c r="J3" i="3"/>
  <c r="I3" i="3" s="1"/>
  <c r="H3" i="3" s="1"/>
  <c r="G3" i="3" s="1"/>
  <c r="E3" i="3"/>
  <c r="D3" i="3" s="1"/>
  <c r="C3" i="3" s="1"/>
  <c r="B3" i="3" s="1"/>
  <c r="AA28" i="3" l="1"/>
  <c r="AA27" i="3"/>
  <c r="AA26" i="3"/>
  <c r="AA24" i="3"/>
  <c r="AA16" i="3"/>
  <c r="AA13" i="3"/>
  <c r="V30" i="3"/>
  <c r="V29" i="3"/>
  <c r="V28" i="3"/>
  <c r="V27" i="3"/>
  <c r="V26" i="3"/>
  <c r="V25" i="3"/>
  <c r="V24" i="3"/>
  <c r="V23" i="3"/>
  <c r="V22" i="3"/>
  <c r="V20" i="3"/>
  <c r="V16" i="3"/>
  <c r="V15" i="3"/>
  <c r="V13" i="3"/>
  <c r="V11" i="3"/>
  <c r="V9" i="3"/>
  <c r="V8" i="3"/>
  <c r="Q28" i="3"/>
  <c r="Q27" i="3"/>
  <c r="Q26" i="3"/>
  <c r="Q24" i="3"/>
  <c r="Q16" i="3"/>
  <c r="Q13" i="3"/>
  <c r="L30" i="3"/>
  <c r="L29" i="3"/>
  <c r="L28" i="3"/>
  <c r="L27" i="3"/>
  <c r="L26" i="3"/>
  <c r="L25" i="3"/>
  <c r="L24" i="3"/>
  <c r="L23" i="3"/>
  <c r="L22" i="3"/>
  <c r="L20" i="3"/>
  <c r="L16" i="3"/>
  <c r="L15" i="3"/>
  <c r="L13" i="3"/>
  <c r="L11" i="3"/>
  <c r="L9" i="3"/>
  <c r="L8" i="3"/>
  <c r="G28" i="3"/>
  <c r="G27" i="3"/>
  <c r="G26" i="3"/>
  <c r="G24" i="3"/>
  <c r="G16" i="3"/>
  <c r="G13" i="3"/>
  <c r="G9" i="3"/>
  <c r="G8" i="3"/>
  <c r="B30" i="3"/>
  <c r="B29" i="3"/>
  <c r="B28" i="3"/>
  <c r="B27" i="3"/>
  <c r="B26" i="3"/>
  <c r="B25" i="3"/>
  <c r="B24" i="3"/>
  <c r="B23" i="3"/>
  <c r="B22" i="3"/>
  <c r="B20" i="3"/>
  <c r="B16" i="3"/>
  <c r="B15" i="3"/>
  <c r="B13" i="3"/>
  <c r="B11" i="3"/>
  <c r="B9" i="3"/>
  <c r="B8" i="3"/>
  <c r="A17" i="5" l="1"/>
  <c r="D17" i="5" s="1"/>
  <c r="C17" i="5"/>
  <c r="A18" i="5"/>
  <c r="D18" i="5" s="1"/>
  <c r="C18" i="5"/>
  <c r="A19" i="5"/>
  <c r="D19" i="5" s="1"/>
  <c r="C19" i="5"/>
  <c r="B20" i="5"/>
  <c r="F19" i="5" l="1"/>
  <c r="C20" i="5"/>
  <c r="E19" i="5"/>
  <c r="F18" i="5"/>
  <c r="F17" i="5"/>
  <c r="E17" i="5"/>
  <c r="G17" i="5" s="1"/>
  <c r="E18" i="5"/>
  <c r="AB7" i="3"/>
  <c r="AA7" i="3" s="1"/>
  <c r="W7" i="3"/>
  <c r="V7" i="3" s="1"/>
  <c r="R7" i="3"/>
  <c r="Q7" i="3" s="1"/>
  <c r="M7" i="3"/>
  <c r="L7" i="3" s="1"/>
  <c r="H7" i="3"/>
  <c r="G7" i="3" s="1"/>
  <c r="C7" i="3"/>
  <c r="B7" i="3" s="1"/>
  <c r="G18" i="5" l="1"/>
  <c r="G19" i="5"/>
  <c r="AD22" i="3"/>
  <c r="AC22" i="3" s="1"/>
  <c r="AB22" i="3" s="1"/>
  <c r="AA22" i="3" s="1"/>
  <c r="Y22" i="3"/>
  <c r="X22" i="3" s="1"/>
  <c r="T22" i="3"/>
  <c r="S22" i="3" s="1"/>
  <c r="R22" i="3" s="1"/>
  <c r="Q22" i="3" s="1"/>
  <c r="O22" i="3"/>
  <c r="N22" i="3"/>
  <c r="J22" i="3"/>
  <c r="I22" i="3" s="1"/>
  <c r="H22" i="3" s="1"/>
  <c r="G22" i="3" s="1"/>
  <c r="E22" i="3"/>
  <c r="D22" i="3" s="1"/>
  <c r="AD23" i="3"/>
  <c r="AC23" i="3" s="1"/>
  <c r="AB23" i="3" s="1"/>
  <c r="AA23" i="3" s="1"/>
  <c r="Y23" i="3"/>
  <c r="X23" i="3" s="1"/>
  <c r="T23" i="3"/>
  <c r="S23" i="3" s="1"/>
  <c r="R23" i="3" s="1"/>
  <c r="Q23" i="3" s="1"/>
  <c r="O23" i="3"/>
  <c r="N23" i="3" s="1"/>
  <c r="J23" i="3"/>
  <c r="I23" i="3" s="1"/>
  <c r="H23" i="3" s="1"/>
  <c r="G23" i="3" s="1"/>
  <c r="E23" i="3"/>
  <c r="D23" i="3" s="1"/>
  <c r="G20" i="5" l="1"/>
  <c r="AD27" i="3"/>
  <c r="AC27" i="3" s="1"/>
  <c r="Y27" i="3"/>
  <c r="X27" i="3" s="1"/>
  <c r="T27" i="3"/>
  <c r="S27" i="3" s="1"/>
  <c r="O27" i="3"/>
  <c r="N27" i="3" s="1"/>
  <c r="J27" i="3"/>
  <c r="I27" i="3" s="1"/>
  <c r="E27" i="3"/>
  <c r="D27" i="3" s="1"/>
  <c r="AD9" i="3"/>
  <c r="AC9" i="3" s="1"/>
  <c r="AB9" i="3" s="1"/>
  <c r="AA9" i="3" s="1"/>
  <c r="Y9" i="3"/>
  <c r="X9" i="3" s="1"/>
  <c r="T9" i="3"/>
  <c r="S9" i="3" s="1"/>
  <c r="R9" i="3" s="1"/>
  <c r="Q9" i="3" s="1"/>
  <c r="O9" i="3"/>
  <c r="N9" i="3" s="1"/>
  <c r="J9" i="3"/>
  <c r="I9" i="3" s="1"/>
  <c r="E9" i="3"/>
  <c r="D9" i="3" s="1"/>
  <c r="C36" i="5" l="1"/>
  <c r="C37" i="5"/>
  <c r="A37" i="5"/>
  <c r="D37" i="5" s="1"/>
  <c r="A36" i="5"/>
  <c r="D36" i="5" s="1"/>
  <c r="C38" i="5"/>
  <c r="A38" i="5"/>
  <c r="F38" i="5" s="1"/>
  <c r="B39" i="5"/>
  <c r="I9" i="1"/>
  <c r="I20" i="5"/>
  <c r="C3" i="5"/>
  <c r="G7" i="5" s="1"/>
  <c r="I39" i="5"/>
  <c r="C6" i="3"/>
  <c r="B6" i="3" s="1"/>
  <c r="E6" i="3"/>
  <c r="H6" i="3"/>
  <c r="G6" i="3" s="1"/>
  <c r="J6" i="3"/>
  <c r="M6" i="3"/>
  <c r="L6" i="3" s="1"/>
  <c r="O6" i="3"/>
  <c r="R6" i="3"/>
  <c r="Q6" i="3" s="1"/>
  <c r="T6" i="3"/>
  <c r="W6" i="3"/>
  <c r="V6" i="3" s="1"/>
  <c r="Y6" i="3"/>
  <c r="AB6" i="3"/>
  <c r="AA6" i="3" s="1"/>
  <c r="AD6" i="3"/>
  <c r="E8" i="3"/>
  <c r="D8" i="3" s="1"/>
  <c r="J8" i="3"/>
  <c r="I8" i="3" s="1"/>
  <c r="O8" i="3"/>
  <c r="N8" i="3" s="1"/>
  <c r="T8" i="3"/>
  <c r="S8" i="3" s="1"/>
  <c r="R8" i="3" s="1"/>
  <c r="Q8" i="3" s="1"/>
  <c r="Y8" i="3"/>
  <c r="X8" i="3" s="1"/>
  <c r="AD8" i="3"/>
  <c r="AC8" i="3" s="1"/>
  <c r="AB8" i="3" s="1"/>
  <c r="AA8" i="3" s="1"/>
  <c r="E11" i="3"/>
  <c r="D11" i="3" s="1"/>
  <c r="J11" i="3"/>
  <c r="I11" i="3" s="1"/>
  <c r="H11" i="3" s="1"/>
  <c r="G11" i="3" s="1"/>
  <c r="O11" i="3"/>
  <c r="N11" i="3" s="1"/>
  <c r="T11" i="3"/>
  <c r="S11" i="3" s="1"/>
  <c r="R11" i="3" s="1"/>
  <c r="Q11" i="3" s="1"/>
  <c r="Y11" i="3"/>
  <c r="X11" i="3" s="1"/>
  <c r="AD11" i="3"/>
  <c r="AC11" i="3" s="1"/>
  <c r="AB11" i="3" s="1"/>
  <c r="AA11" i="3" s="1"/>
  <c r="E13" i="3"/>
  <c r="D13" i="3" s="1"/>
  <c r="J13" i="3"/>
  <c r="I13" i="3" s="1"/>
  <c r="O13" i="3"/>
  <c r="N13" i="3" s="1"/>
  <c r="T13" i="3"/>
  <c r="S13" i="3" s="1"/>
  <c r="Y13" i="3"/>
  <c r="X13" i="3" s="1"/>
  <c r="AD13" i="3"/>
  <c r="AC13" i="3" s="1"/>
  <c r="E15" i="3"/>
  <c r="D15" i="3" s="1"/>
  <c r="J15" i="3"/>
  <c r="I15" i="3" s="1"/>
  <c r="H15" i="3" s="1"/>
  <c r="G15" i="3" s="1"/>
  <c r="O15" i="3"/>
  <c r="N15" i="3" s="1"/>
  <c r="T15" i="3"/>
  <c r="S15" i="3" s="1"/>
  <c r="R15" i="3" s="1"/>
  <c r="Q15" i="3" s="1"/>
  <c r="Y15" i="3"/>
  <c r="X15" i="3" s="1"/>
  <c r="AD15" i="3"/>
  <c r="AC15" i="3" s="1"/>
  <c r="AB15" i="3" s="1"/>
  <c r="AA15" i="3" s="1"/>
  <c r="E16" i="3"/>
  <c r="D16" i="3" s="1"/>
  <c r="J16" i="3"/>
  <c r="I16" i="3" s="1"/>
  <c r="O16" i="3"/>
  <c r="N16" i="3" s="1"/>
  <c r="T16" i="3"/>
  <c r="S16" i="3" s="1"/>
  <c r="Y16" i="3"/>
  <c r="X16" i="3" s="1"/>
  <c r="AD16" i="3"/>
  <c r="AC16" i="3" s="1"/>
  <c r="D17" i="3"/>
  <c r="C17" i="3" s="1"/>
  <c r="B17" i="3" s="1"/>
  <c r="I17" i="3"/>
  <c r="H17" i="3" s="1"/>
  <c r="G17" i="3" s="1"/>
  <c r="N17" i="3"/>
  <c r="M17" i="3" s="1"/>
  <c r="L17" i="3" s="1"/>
  <c r="T17" i="3"/>
  <c r="S17" i="3" s="1"/>
  <c r="R17" i="3" s="1"/>
  <c r="Q17" i="3" s="1"/>
  <c r="X17" i="3"/>
  <c r="W17" i="3" s="1"/>
  <c r="V17" i="3" s="1"/>
  <c r="AD17" i="3"/>
  <c r="AC17" i="3" s="1"/>
  <c r="AB17" i="3" s="1"/>
  <c r="AA17" i="3" s="1"/>
  <c r="D18" i="3"/>
  <c r="C18" i="3" s="1"/>
  <c r="B18" i="3" s="1"/>
  <c r="I18" i="3"/>
  <c r="H18" i="3" s="1"/>
  <c r="G18" i="3" s="1"/>
  <c r="N18" i="3"/>
  <c r="M18" i="3" s="1"/>
  <c r="L18" i="3" s="1"/>
  <c r="S18" i="3"/>
  <c r="R18" i="3" s="1"/>
  <c r="Q18" i="3" s="1"/>
  <c r="X18" i="3"/>
  <c r="W18" i="3" s="1"/>
  <c r="V18" i="3" s="1"/>
  <c r="AC18" i="3"/>
  <c r="AB18" i="3" s="1"/>
  <c r="AA18" i="3" s="1"/>
  <c r="E19" i="3"/>
  <c r="D19" i="3" s="1"/>
  <c r="C19" i="3" s="1"/>
  <c r="B19" i="3" s="1"/>
  <c r="J19" i="3"/>
  <c r="I19" i="3" s="1"/>
  <c r="H19" i="3" s="1"/>
  <c r="G19" i="3" s="1"/>
  <c r="O19" i="3"/>
  <c r="N19" i="3" s="1"/>
  <c r="M19" i="3" s="1"/>
  <c r="L19" i="3" s="1"/>
  <c r="T19" i="3"/>
  <c r="S19" i="3" s="1"/>
  <c r="R19" i="3" s="1"/>
  <c r="Q19" i="3" s="1"/>
  <c r="Y19" i="3"/>
  <c r="X19" i="3" s="1"/>
  <c r="W19" i="3" s="1"/>
  <c r="V19" i="3" s="1"/>
  <c r="AD19" i="3"/>
  <c r="AC19" i="3" s="1"/>
  <c r="AB19" i="3" s="1"/>
  <c r="AA19" i="3" s="1"/>
  <c r="E20" i="3"/>
  <c r="D20" i="3" s="1"/>
  <c r="J20" i="3"/>
  <c r="I20" i="3" s="1"/>
  <c r="H20" i="3" s="1"/>
  <c r="G20" i="3" s="1"/>
  <c r="O20" i="3"/>
  <c r="N20" i="3" s="1"/>
  <c r="T20" i="3"/>
  <c r="S20" i="3" s="1"/>
  <c r="R20" i="3" s="1"/>
  <c r="Q20" i="3" s="1"/>
  <c r="Y20" i="3"/>
  <c r="X20" i="3" s="1"/>
  <c r="AD20" i="3"/>
  <c r="AC20" i="3" s="1"/>
  <c r="AB20" i="3" s="1"/>
  <c r="AA20" i="3" s="1"/>
  <c r="E25" i="3"/>
  <c r="D25" i="3" s="1"/>
  <c r="J25" i="3"/>
  <c r="I25" i="3" s="1"/>
  <c r="H25" i="3" s="1"/>
  <c r="G25" i="3" s="1"/>
  <c r="O25" i="3"/>
  <c r="N25" i="3" s="1"/>
  <c r="T25" i="3"/>
  <c r="S25" i="3" s="1"/>
  <c r="R25" i="3" s="1"/>
  <c r="Q25" i="3" s="1"/>
  <c r="Y25" i="3"/>
  <c r="X25" i="3" s="1"/>
  <c r="AD25" i="3"/>
  <c r="AC25" i="3" s="1"/>
  <c r="AB25" i="3" s="1"/>
  <c r="AA25" i="3" s="1"/>
  <c r="E26" i="3"/>
  <c r="D26" i="3" s="1"/>
  <c r="J26" i="3"/>
  <c r="I26" i="3" s="1"/>
  <c r="O26" i="3"/>
  <c r="N26" i="3" s="1"/>
  <c r="T26" i="3"/>
  <c r="S26" i="3" s="1"/>
  <c r="Y26" i="3"/>
  <c r="X26" i="3" s="1"/>
  <c r="AD26" i="3"/>
  <c r="AC26" i="3" s="1"/>
  <c r="E28" i="3"/>
  <c r="D28" i="3" s="1"/>
  <c r="J28" i="3"/>
  <c r="I28" i="3" s="1"/>
  <c r="O28" i="3"/>
  <c r="N28" i="3" s="1"/>
  <c r="T28" i="3"/>
  <c r="S28" i="3" s="1"/>
  <c r="Y28" i="3"/>
  <c r="X28" i="3" s="1"/>
  <c r="AD28" i="3"/>
  <c r="AC28" i="3" s="1"/>
  <c r="E29" i="3"/>
  <c r="D29" i="3" s="1"/>
  <c r="J29" i="3"/>
  <c r="I29" i="3" s="1"/>
  <c r="H29" i="3" s="1"/>
  <c r="G29" i="3" s="1"/>
  <c r="O29" i="3"/>
  <c r="N29" i="3" s="1"/>
  <c r="T29" i="3"/>
  <c r="S29" i="3" s="1"/>
  <c r="R29" i="3" s="1"/>
  <c r="Q29" i="3" s="1"/>
  <c r="Y29" i="3"/>
  <c r="X29" i="3" s="1"/>
  <c r="AD29" i="3"/>
  <c r="AC29" i="3" s="1"/>
  <c r="AB29" i="3" s="1"/>
  <c r="AA29" i="3" s="1"/>
  <c r="E30" i="3"/>
  <c r="D30" i="3" s="1"/>
  <c r="J30" i="3"/>
  <c r="I30" i="3" s="1"/>
  <c r="H30" i="3" s="1"/>
  <c r="G30" i="3" s="1"/>
  <c r="O30" i="3"/>
  <c r="N30" i="3" s="1"/>
  <c r="T30" i="3"/>
  <c r="S30" i="3" s="1"/>
  <c r="R30" i="3" s="1"/>
  <c r="Q30" i="3" s="1"/>
  <c r="Y30" i="3"/>
  <c r="X30" i="3" s="1"/>
  <c r="AD30" i="3"/>
  <c r="AC30" i="3" s="1"/>
  <c r="AB30" i="3" s="1"/>
  <c r="AA30" i="3" s="1"/>
  <c r="D38" i="5" l="1"/>
  <c r="E38" i="5"/>
  <c r="G38" i="5" s="1"/>
  <c r="J40" i="1" s="1"/>
  <c r="K38" i="5"/>
  <c r="K39" i="5"/>
  <c r="K20" i="5"/>
  <c r="K19" i="5"/>
  <c r="K17" i="5"/>
  <c r="K36" i="5"/>
  <c r="U7" i="5"/>
  <c r="X11" i="5"/>
  <c r="T11" i="5"/>
  <c r="X10" i="5"/>
  <c r="T10" i="5"/>
  <c r="X9" i="5"/>
  <c r="T9" i="5"/>
  <c r="W8" i="5"/>
  <c r="X7" i="5"/>
  <c r="T7" i="5"/>
  <c r="X6" i="5"/>
  <c r="T6" i="5"/>
  <c r="W11" i="5"/>
  <c r="W10" i="5"/>
  <c r="W9" i="5"/>
  <c r="V8" i="5"/>
  <c r="W7" i="5"/>
  <c r="W6" i="5"/>
  <c r="V11" i="5"/>
  <c r="V10" i="5"/>
  <c r="V9" i="5"/>
  <c r="U8" i="5"/>
  <c r="V7" i="5"/>
  <c r="V6" i="5"/>
  <c r="U11" i="5"/>
  <c r="U10" i="5"/>
  <c r="U9" i="5"/>
  <c r="X8" i="5"/>
  <c r="T8" i="5"/>
  <c r="U6" i="5"/>
  <c r="J11" i="5"/>
  <c r="K10" i="5"/>
  <c r="G10" i="5"/>
  <c r="H9" i="5"/>
  <c r="I8" i="5"/>
  <c r="J7" i="5"/>
  <c r="I36" i="5"/>
  <c r="I11" i="5"/>
  <c r="J10" i="5"/>
  <c r="K9" i="5"/>
  <c r="G9" i="5"/>
  <c r="H8" i="5"/>
  <c r="I7" i="5"/>
  <c r="I17" i="5"/>
  <c r="H11" i="5"/>
  <c r="I10" i="5"/>
  <c r="J9" i="5"/>
  <c r="K8" i="5"/>
  <c r="G8" i="5"/>
  <c r="H7" i="5"/>
  <c r="K11" i="5"/>
  <c r="G11" i="5"/>
  <c r="H10" i="5"/>
  <c r="I9" i="5"/>
  <c r="J8" i="5"/>
  <c r="K7" i="5"/>
  <c r="K6" i="5"/>
  <c r="F36" i="5"/>
  <c r="E36" i="5"/>
  <c r="G36" i="5" s="1"/>
  <c r="C39" i="5"/>
  <c r="J15" i="1"/>
  <c r="I6" i="5"/>
  <c r="J6" i="5"/>
  <c r="G6" i="5"/>
  <c r="H6" i="5"/>
  <c r="J16" i="1"/>
  <c r="F37" i="5"/>
  <c r="E37" i="5"/>
  <c r="J17" i="1"/>
  <c r="G37" i="5" l="1"/>
  <c r="J39" i="1" s="1"/>
  <c r="J18" i="1"/>
  <c r="R9" i="5"/>
  <c r="S9" i="5"/>
  <c r="P9" i="5"/>
  <c r="Q9" i="5"/>
  <c r="S11" i="5"/>
  <c r="R11" i="5"/>
  <c r="Q11" i="5"/>
  <c r="P11" i="5"/>
  <c r="S7" i="5"/>
  <c r="R7" i="5"/>
  <c r="Q7" i="5"/>
  <c r="P7" i="5"/>
  <c r="Q6" i="5"/>
  <c r="S6" i="5"/>
  <c r="R6" i="5"/>
  <c r="P6" i="5"/>
  <c r="S8" i="5"/>
  <c r="P8" i="5"/>
  <c r="Q8" i="5"/>
  <c r="R8" i="5"/>
  <c r="Q10" i="5"/>
  <c r="S10" i="5"/>
  <c r="R10" i="5"/>
  <c r="P10" i="5"/>
  <c r="U27" i="5"/>
  <c r="H27" i="5" s="1"/>
  <c r="U28" i="5"/>
  <c r="H28" i="5" s="1"/>
  <c r="U26" i="5"/>
  <c r="H26" i="5" s="1"/>
  <c r="E6" i="5"/>
  <c r="T23" i="5"/>
  <c r="G23" i="5" s="1"/>
  <c r="X24" i="5"/>
  <c r="K24" i="5" s="1"/>
  <c r="T28" i="5"/>
  <c r="G28" i="5" s="1"/>
  <c r="X25" i="5"/>
  <c r="K25" i="5" s="1"/>
  <c r="L24" i="1" s="1"/>
  <c r="X26" i="5"/>
  <c r="K26" i="5" s="1"/>
  <c r="L25" i="1" s="1"/>
  <c r="T24" i="5"/>
  <c r="G24" i="5" s="1"/>
  <c r="T27" i="5"/>
  <c r="G27" i="5" s="1"/>
  <c r="H26" i="1" s="1"/>
  <c r="X23" i="5"/>
  <c r="K23" i="5" s="1"/>
  <c r="T25" i="5"/>
  <c r="G25" i="5" s="1"/>
  <c r="W23" i="5"/>
  <c r="J23" i="5" s="1"/>
  <c r="W25" i="5"/>
  <c r="J25" i="5" s="1"/>
  <c r="X28" i="5"/>
  <c r="K28" i="5" s="1"/>
  <c r="L27" i="1" s="1"/>
  <c r="W26" i="5"/>
  <c r="J26" i="5" s="1"/>
  <c r="V24" i="5"/>
  <c r="I24" i="5" s="1"/>
  <c r="W27" i="5"/>
  <c r="J27" i="5" s="1"/>
  <c r="W24" i="5"/>
  <c r="J24" i="5" s="1"/>
  <c r="X27" i="5"/>
  <c r="K27" i="5" s="1"/>
  <c r="L26" i="1" s="1"/>
  <c r="U23" i="5"/>
  <c r="H23" i="5" s="1"/>
  <c r="C9" i="5"/>
  <c r="T26" i="5"/>
  <c r="G26" i="5" s="1"/>
  <c r="V23" i="5"/>
  <c r="I23" i="5" s="1"/>
  <c r="V26" i="5"/>
  <c r="I26" i="5" s="1"/>
  <c r="U24" i="5"/>
  <c r="H24" i="5" s="1"/>
  <c r="V27" i="5"/>
  <c r="I27" i="5" s="1"/>
  <c r="U25" i="5"/>
  <c r="H25" i="5" s="1"/>
  <c r="V28" i="5"/>
  <c r="I28" i="5" s="1"/>
  <c r="V25" i="5"/>
  <c r="I25" i="5" s="1"/>
  <c r="W28" i="5"/>
  <c r="J28" i="5" s="1"/>
  <c r="C6" i="5"/>
  <c r="D6" i="5"/>
  <c r="D9" i="5"/>
  <c r="F9" i="5"/>
  <c r="E9" i="5"/>
  <c r="F6" i="5"/>
  <c r="D8" i="5"/>
  <c r="F8" i="5"/>
  <c r="C8" i="5"/>
  <c r="E8" i="5"/>
  <c r="C10" i="5"/>
  <c r="E10" i="5"/>
  <c r="D10" i="5"/>
  <c r="F10" i="5"/>
  <c r="F11" i="5"/>
  <c r="C11" i="5"/>
  <c r="E11" i="5"/>
  <c r="D11" i="5"/>
  <c r="F7" i="5"/>
  <c r="D7" i="5"/>
  <c r="C7" i="5"/>
  <c r="E7" i="5"/>
  <c r="K17" i="1" l="1"/>
  <c r="K16" i="1"/>
  <c r="K15" i="1"/>
  <c r="G39" i="5"/>
  <c r="U46" i="5" s="1"/>
  <c r="H46" i="5" s="1"/>
  <c r="I49" i="1" s="1"/>
  <c r="K29" i="5"/>
  <c r="L29" i="1" s="1"/>
  <c r="J38" i="1"/>
  <c r="K31" i="5"/>
  <c r="L31" i="1" s="1"/>
  <c r="K30" i="5"/>
  <c r="L30" i="1" s="1"/>
  <c r="L23" i="1"/>
  <c r="L22" i="1"/>
  <c r="R25" i="5"/>
  <c r="E25" i="5" s="1"/>
  <c r="F24" i="1" s="1"/>
  <c r="R24" i="5"/>
  <c r="E24" i="5" s="1"/>
  <c r="F23" i="1" s="1"/>
  <c r="Q28" i="5"/>
  <c r="D28" i="5" s="1"/>
  <c r="Q27" i="5"/>
  <c r="D27" i="5" s="1"/>
  <c r="E26" i="1" s="1"/>
  <c r="P25" i="5"/>
  <c r="C25" i="5" s="1"/>
  <c r="D24" i="1" s="1"/>
  <c r="R26" i="5"/>
  <c r="E26" i="5" s="1"/>
  <c r="F25" i="1" s="1"/>
  <c r="P23" i="5"/>
  <c r="C23" i="5" s="1"/>
  <c r="D22" i="1" s="1"/>
  <c r="P26" i="5"/>
  <c r="C26" i="5" s="1"/>
  <c r="D25" i="1" s="1"/>
  <c r="S28" i="5"/>
  <c r="F28" i="5" s="1"/>
  <c r="S23" i="5"/>
  <c r="F23" i="5" s="1"/>
  <c r="G22" i="1" s="1"/>
  <c r="P24" i="5"/>
  <c r="C24" i="5" s="1"/>
  <c r="D23" i="1" s="1"/>
  <c r="R28" i="5"/>
  <c r="E28" i="5" s="1"/>
  <c r="R27" i="5"/>
  <c r="E27" i="5" s="1"/>
  <c r="F26" i="1" s="1"/>
  <c r="S25" i="5"/>
  <c r="F25" i="5" s="1"/>
  <c r="G24" i="1" s="1"/>
  <c r="S26" i="5"/>
  <c r="F26" i="5" s="1"/>
  <c r="G25" i="1" s="1"/>
  <c r="S24" i="5"/>
  <c r="F24" i="5" s="1"/>
  <c r="G23" i="1" s="1"/>
  <c r="S27" i="5"/>
  <c r="F27" i="5" s="1"/>
  <c r="G26" i="1" s="1"/>
  <c r="Q23" i="5"/>
  <c r="D23" i="5" s="1"/>
  <c r="E22" i="1" s="1"/>
  <c r="Q24" i="5"/>
  <c r="D24" i="5" s="1"/>
  <c r="E23" i="1" s="1"/>
  <c r="P28" i="5"/>
  <c r="C28" i="5" s="1"/>
  <c r="P27" i="5"/>
  <c r="C27" i="5" s="1"/>
  <c r="D26" i="1" s="1"/>
  <c r="Q25" i="5"/>
  <c r="D25" i="5" s="1"/>
  <c r="E24" i="1" s="1"/>
  <c r="Q26" i="5"/>
  <c r="D26" i="5" s="1"/>
  <c r="E25" i="1" s="1"/>
  <c r="R23" i="5"/>
  <c r="E23" i="5" s="1"/>
  <c r="F22" i="1" s="1"/>
  <c r="H24" i="1"/>
  <c r="I23" i="1"/>
  <c r="H23" i="1"/>
  <c r="I24" i="1"/>
  <c r="K23" i="1"/>
  <c r="H27" i="1"/>
  <c r="J25" i="1"/>
  <c r="K27" i="1"/>
  <c r="K24" i="1"/>
  <c r="J26" i="1"/>
  <c r="I26" i="1"/>
  <c r="H25" i="1"/>
  <c r="I25" i="1"/>
  <c r="H22" i="1"/>
  <c r="I27" i="1"/>
  <c r="J24" i="1"/>
  <c r="K26" i="1"/>
  <c r="J23" i="1"/>
  <c r="J27" i="1"/>
  <c r="K25" i="1"/>
  <c r="J41" i="1" l="1"/>
  <c r="Q43" i="5"/>
  <c r="D43" i="5" s="1"/>
  <c r="E46" i="1" s="1"/>
  <c r="P43" i="5"/>
  <c r="C43" i="5" s="1"/>
  <c r="D46" i="1" s="1"/>
  <c r="T42" i="5"/>
  <c r="G42" i="5" s="1"/>
  <c r="H45" i="1" s="1"/>
  <c r="X43" i="5"/>
  <c r="K43" i="5" s="1"/>
  <c r="L46" i="1" s="1"/>
  <c r="X47" i="5"/>
  <c r="K47" i="5" s="1"/>
  <c r="L50" i="1" s="1"/>
  <c r="Q45" i="5"/>
  <c r="D45" i="5" s="1"/>
  <c r="E48" i="1" s="1"/>
  <c r="W43" i="5"/>
  <c r="J43" i="5" s="1"/>
  <c r="K46" i="1" s="1"/>
  <c r="Q47" i="5"/>
  <c r="D47" i="5" s="1"/>
  <c r="E50" i="1" s="1"/>
  <c r="W45" i="5"/>
  <c r="J45" i="5" s="1"/>
  <c r="K48" i="1" s="1"/>
  <c r="S45" i="5"/>
  <c r="F45" i="5" s="1"/>
  <c r="G48" i="1" s="1"/>
  <c r="P42" i="5"/>
  <c r="C42" i="5" s="1"/>
  <c r="D45" i="1" s="1"/>
  <c r="S44" i="5"/>
  <c r="F44" i="5" s="1"/>
  <c r="G47" i="1" s="1"/>
  <c r="S42" i="5"/>
  <c r="F42" i="5" s="1"/>
  <c r="G45" i="1" s="1"/>
  <c r="X44" i="5"/>
  <c r="K44" i="5" s="1"/>
  <c r="L47" i="1" s="1"/>
  <c r="U43" i="5"/>
  <c r="H43" i="5" s="1"/>
  <c r="I46" i="1" s="1"/>
  <c r="T47" i="5"/>
  <c r="G47" i="5" s="1"/>
  <c r="H50" i="1" s="1"/>
  <c r="T45" i="5"/>
  <c r="G45" i="5" s="1"/>
  <c r="H48" i="1" s="1"/>
  <c r="Q44" i="5"/>
  <c r="D44" i="5" s="1"/>
  <c r="E47" i="1" s="1"/>
  <c r="Q42" i="5"/>
  <c r="D42" i="5" s="1"/>
  <c r="E45" i="1" s="1"/>
  <c r="R45" i="5"/>
  <c r="E45" i="5" s="1"/>
  <c r="F48" i="1" s="1"/>
  <c r="R43" i="5"/>
  <c r="E43" i="5" s="1"/>
  <c r="F46" i="1" s="1"/>
  <c r="X45" i="5"/>
  <c r="K45" i="5" s="1"/>
  <c r="L48" i="1" s="1"/>
  <c r="U44" i="5"/>
  <c r="H44" i="5" s="1"/>
  <c r="I47" i="1" s="1"/>
  <c r="T46" i="5"/>
  <c r="G46" i="5" s="1"/>
  <c r="H49" i="1" s="1"/>
  <c r="W44" i="5"/>
  <c r="J44" i="5" s="1"/>
  <c r="K47" i="1" s="1"/>
  <c r="V42" i="5"/>
  <c r="I42" i="5" s="1"/>
  <c r="J45" i="1" s="1"/>
  <c r="U42" i="5"/>
  <c r="H42" i="5" s="1"/>
  <c r="I45" i="1" s="1"/>
  <c r="S46" i="5"/>
  <c r="F46" i="5" s="1"/>
  <c r="G49" i="1" s="1"/>
  <c r="S47" i="5"/>
  <c r="F47" i="5" s="1"/>
  <c r="G50" i="1" s="1"/>
  <c r="T43" i="5"/>
  <c r="G43" i="5" s="1"/>
  <c r="H46" i="1" s="1"/>
  <c r="X46" i="5"/>
  <c r="K46" i="5" s="1"/>
  <c r="L49" i="1" s="1"/>
  <c r="R46" i="5"/>
  <c r="E46" i="5" s="1"/>
  <c r="F49" i="1" s="1"/>
  <c r="R44" i="5"/>
  <c r="E44" i="5" s="1"/>
  <c r="F47" i="1" s="1"/>
  <c r="V45" i="5"/>
  <c r="I45" i="5" s="1"/>
  <c r="J48" i="1" s="1"/>
  <c r="P47" i="5"/>
  <c r="C47" i="5" s="1"/>
  <c r="D50" i="1" s="1"/>
  <c r="S43" i="5"/>
  <c r="F43" i="5" s="1"/>
  <c r="G46" i="1" s="1"/>
  <c r="P45" i="5"/>
  <c r="C45" i="5" s="1"/>
  <c r="D48" i="1" s="1"/>
  <c r="T44" i="5"/>
  <c r="G44" i="5" s="1"/>
  <c r="H47" i="1" s="1"/>
  <c r="V43" i="5"/>
  <c r="I43" i="5" s="1"/>
  <c r="J46" i="1" s="1"/>
  <c r="V46" i="5"/>
  <c r="I46" i="5" s="1"/>
  <c r="J49" i="1" s="1"/>
  <c r="U47" i="5"/>
  <c r="H47" i="5" s="1"/>
  <c r="I50" i="1" s="1"/>
  <c r="P46" i="5"/>
  <c r="C46" i="5" s="1"/>
  <c r="D49" i="1" s="1"/>
  <c r="P44" i="5"/>
  <c r="C44" i="5" s="1"/>
  <c r="D47" i="1" s="1"/>
  <c r="V44" i="5"/>
  <c r="I44" i="5" s="1"/>
  <c r="J47" i="1" s="1"/>
  <c r="X42" i="5"/>
  <c r="K42" i="5" s="1"/>
  <c r="K48" i="5" s="1"/>
  <c r="W47" i="5"/>
  <c r="J47" i="5" s="1"/>
  <c r="K50" i="1" s="1"/>
  <c r="R42" i="5"/>
  <c r="E42" i="5" s="1"/>
  <c r="F45" i="1" s="1"/>
  <c r="R47" i="5"/>
  <c r="E47" i="5" s="1"/>
  <c r="F50" i="1" s="1"/>
  <c r="Q46" i="5"/>
  <c r="D46" i="5" s="1"/>
  <c r="E49" i="1" s="1"/>
  <c r="U45" i="5"/>
  <c r="H45" i="5" s="1"/>
  <c r="I48" i="1" s="1"/>
  <c r="W42" i="5"/>
  <c r="J42" i="5" s="1"/>
  <c r="K45" i="1" s="1"/>
  <c r="W46" i="5"/>
  <c r="J46" i="5" s="1"/>
  <c r="K49" i="1" s="1"/>
  <c r="V47" i="5"/>
  <c r="I47" i="5" s="1"/>
  <c r="J50" i="1" s="1"/>
  <c r="H32" i="1"/>
  <c r="J29" i="5"/>
  <c r="I29" i="5" s="1"/>
  <c r="H29" i="5" s="1"/>
  <c r="G29" i="5" s="1"/>
  <c r="L32" i="1"/>
  <c r="J31" i="5"/>
  <c r="K31" i="1" s="1"/>
  <c r="J30" i="5"/>
  <c r="K30" i="1" s="1"/>
  <c r="E27" i="1"/>
  <c r="E32" i="1" s="1"/>
  <c r="G27" i="1"/>
  <c r="G32" i="1" s="1"/>
  <c r="F27" i="1"/>
  <c r="F32" i="1" s="1"/>
  <c r="D27" i="1"/>
  <c r="D32" i="1" s="1"/>
  <c r="J22" i="1"/>
  <c r="J32" i="1" s="1"/>
  <c r="K22" i="1"/>
  <c r="K32" i="1" s="1"/>
  <c r="I22" i="1"/>
  <c r="I32" i="1" s="1"/>
  <c r="K40" i="1" l="1"/>
  <c r="K39" i="1"/>
  <c r="K38" i="1"/>
  <c r="D55" i="1"/>
  <c r="I55" i="1"/>
  <c r="E55" i="1"/>
  <c r="H55" i="1"/>
  <c r="K55" i="1"/>
  <c r="K50" i="5"/>
  <c r="L54" i="1" s="1"/>
  <c r="F55" i="1"/>
  <c r="J48" i="5"/>
  <c r="I48" i="5" s="1"/>
  <c r="H48" i="5" s="1"/>
  <c r="G48" i="5" s="1"/>
  <c r="G55" i="1"/>
  <c r="J55" i="1"/>
  <c r="K49" i="5"/>
  <c r="L53" i="1" s="1"/>
  <c r="L45" i="1"/>
  <c r="L55" i="1" s="1"/>
  <c r="K29" i="1"/>
  <c r="L52" i="1"/>
  <c r="I31" i="5"/>
  <c r="J31" i="1" s="1"/>
  <c r="I30" i="5"/>
  <c r="J30" i="1" s="1"/>
  <c r="J29" i="1"/>
  <c r="J50" i="5" l="1"/>
  <c r="K54" i="1" s="1"/>
  <c r="J49" i="5"/>
  <c r="K53" i="1" s="1"/>
  <c r="K52" i="1"/>
  <c r="H31" i="5"/>
  <c r="J52" i="1"/>
  <c r="H30" i="5"/>
  <c r="I30" i="1" s="1"/>
  <c r="I29" i="1"/>
  <c r="I50" i="5" l="1"/>
  <c r="H50" i="5" s="1"/>
  <c r="I54" i="1" s="1"/>
  <c r="I49" i="5"/>
  <c r="J53" i="1" s="1"/>
  <c r="G31" i="5"/>
  <c r="H31" i="1" s="1"/>
  <c r="I31" i="1"/>
  <c r="I52" i="1"/>
  <c r="G30" i="5"/>
  <c r="H30" i="1" s="1"/>
  <c r="H29" i="1"/>
  <c r="J54" i="1" l="1"/>
  <c r="H49" i="5"/>
  <c r="I53" i="1" s="1"/>
  <c r="F31" i="5"/>
  <c r="G31" i="1" s="1"/>
  <c r="G50" i="5"/>
  <c r="H54" i="1" s="1"/>
  <c r="H52" i="1"/>
  <c r="F30" i="5"/>
  <c r="G30" i="1" s="1"/>
  <c r="F29" i="5"/>
  <c r="G29" i="1" s="1"/>
  <c r="G49" i="5" l="1"/>
  <c r="H53" i="1" s="1"/>
  <c r="E31" i="5"/>
  <c r="F31" i="1" s="1"/>
  <c r="F48" i="5"/>
  <c r="G52" i="1" s="1"/>
  <c r="F50" i="5"/>
  <c r="G54" i="1" s="1"/>
  <c r="E30" i="5"/>
  <c r="F30" i="1" s="1"/>
  <c r="E29" i="5"/>
  <c r="F29" i="1" s="1"/>
  <c r="F49" i="5" l="1"/>
  <c r="G53" i="1" s="1"/>
  <c r="D31" i="5"/>
  <c r="E31" i="1" s="1"/>
  <c r="E48" i="5"/>
  <c r="F52" i="1" s="1"/>
  <c r="E50" i="5"/>
  <c r="F54" i="1" s="1"/>
  <c r="D30" i="5"/>
  <c r="E30" i="1" s="1"/>
  <c r="D29" i="5"/>
  <c r="E29" i="1" s="1"/>
  <c r="E49" i="5" l="1"/>
  <c r="F53" i="1" s="1"/>
  <c r="C31" i="5"/>
  <c r="D31" i="1" s="1"/>
  <c r="D48" i="5"/>
  <c r="E52" i="1" s="1"/>
  <c r="D50" i="5"/>
  <c r="E54" i="1" s="1"/>
  <c r="C30" i="5"/>
  <c r="D30" i="1" s="1"/>
  <c r="C29" i="5"/>
  <c r="D29" i="1" s="1"/>
  <c r="D49" i="5" l="1"/>
  <c r="E53" i="1" s="1"/>
  <c r="C48" i="5"/>
  <c r="D52" i="1" s="1"/>
  <c r="C50" i="5"/>
  <c r="D54" i="1" s="1"/>
  <c r="C49" i="5" l="1"/>
  <c r="D5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USER_SYSTEM_01</author>
    <author>Windows User</author>
    <author>Gyoumu</author>
    <author>Windows Biz User</author>
  </authors>
  <commentList>
    <comment ref="F2" authorId="0" shapeId="0" xr:uid="{8DDC7BC8-7EB1-4986-8034-E28AF2D51B5F}">
      <text>
        <r>
          <rPr>
            <b/>
            <sz val="9"/>
            <color indexed="81"/>
            <rFont val="MS P ゴシック"/>
            <family val="3"/>
            <charset val="128"/>
          </rPr>
          <t>Spray Volume Calculation</t>
        </r>
      </text>
    </comment>
    <comment ref="B5" authorId="0" shapeId="0" xr:uid="{E3FA8A69-AFB1-46B6-973B-3A54C5047EF7}">
      <text>
        <r>
          <rPr>
            <sz val="9"/>
            <color indexed="81"/>
            <rFont val="MS P ゴシック"/>
            <family val="3"/>
            <charset val="128"/>
          </rPr>
          <t>User</t>
        </r>
      </text>
    </comment>
    <comment ref="C5" authorId="0" shapeId="0" xr:uid="{0AE31FE7-99B5-407B-AA95-E329107BC70B}">
      <text>
        <r>
          <rPr>
            <sz val="9"/>
            <color indexed="81"/>
            <rFont val="MS P ゴシック"/>
            <family val="3"/>
            <charset val="128"/>
          </rPr>
          <t>Address</t>
        </r>
      </text>
    </comment>
    <comment ref="F5" authorId="0" shapeId="0" xr:uid="{AB1B25E7-5ABB-4111-9349-A4151486C3C3}">
      <text>
        <r>
          <rPr>
            <sz val="9"/>
            <color indexed="81"/>
            <rFont val="MS P ゴシック"/>
            <family val="3"/>
            <charset val="128"/>
          </rPr>
          <t>Name</t>
        </r>
      </text>
    </comment>
    <comment ref="B7" authorId="0" shapeId="0" xr:uid="{E97960C9-7361-48A0-A050-3ECDCE50B8B6}">
      <text>
        <r>
          <rPr>
            <sz val="9"/>
            <color indexed="81"/>
            <rFont val="MS P ゴシック"/>
            <family val="3"/>
            <charset val="128"/>
          </rPr>
          <t xml:space="preserve">Product Name
お使いの製品名を選択して下さい。
</t>
        </r>
      </text>
    </comment>
    <comment ref="B9" authorId="0" shapeId="0" xr:uid="{ED26BBF8-CDBD-4C10-99B0-790C89346EAA}">
      <text>
        <r>
          <rPr>
            <sz val="9"/>
            <color indexed="81"/>
            <rFont val="MS P ゴシック"/>
            <family val="3"/>
            <charset val="128"/>
          </rPr>
          <t>Planner</t>
        </r>
      </text>
    </comment>
    <comment ref="B12" authorId="0" shapeId="0" xr:uid="{C80C3D43-88DC-4FF8-87D1-1F359F237BFF}">
      <text>
        <r>
          <rPr>
            <sz val="9"/>
            <color indexed="81"/>
            <rFont val="MS P ゴシック"/>
            <family val="3"/>
            <charset val="128"/>
          </rPr>
          <t>Spray Plan 1</t>
        </r>
      </text>
    </comment>
    <comment ref="B14" authorId="0" shapeId="0" xr:uid="{FB768872-395A-4145-8BC5-AB413F3D94D7}">
      <text>
        <r>
          <rPr>
            <sz val="9"/>
            <color indexed="81"/>
            <rFont val="MS P ゴシック"/>
            <family val="3"/>
            <charset val="128"/>
          </rPr>
          <t xml:space="preserve">Cultivated Items
計算対象の栽培品目等を選択して下さい。
任意の圃場名でも入力できます。
</t>
        </r>
      </text>
    </comment>
    <comment ref="G14" authorId="0" shapeId="0" xr:uid="{E1A293BD-5166-40F4-8F57-90B8B95AF204}">
      <text>
        <r>
          <rPr>
            <sz val="9"/>
            <color indexed="81"/>
            <rFont val="MS P ゴシック"/>
            <family val="3"/>
            <charset val="128"/>
          </rPr>
          <t>Nozzle Direction
ノズルの噴霧方向を選択してください。
　立木の圃場では、奥行きのある「斜め上」方向に多く(吐出量全体の60～70%)噴霧すると、防除効果が向上します。
　棚園では、風圧板を装着してSS上部の風量を弱めると、葉が適度に揺動し薬液がよく付着します。散布幅が広い圃場では、下部のノズルは止めずに、到達距離の長い標準ノズルで隣のコースの散布範囲との境目付近の棚面を重なるように散布すると効果的です。</t>
        </r>
      </text>
    </comment>
    <comment ref="H14" authorId="1" shapeId="0" xr:uid="{2C374CA8-DDB2-4BED-8E16-045E917E8F83}">
      <text>
        <r>
          <rPr>
            <sz val="9"/>
            <rFont val="ＭＳ Ｐゴシック"/>
            <family val="3"/>
            <charset val="134"/>
          </rPr>
          <t>Disc Size (Spray Tip)
ノズル噴板の種類を選択して下さい。
標準ノズルは立木向け、広角ノズルは棚園・わい化園向けです。
吐出量の小さい順に、
標準側は、Φ0.8＜Φ1.0＜Φ1.2＜Φ1.5＜Φ1.8
  　　※(3H)はスリーホール中子 (3 hole core)
広角側は、黄 (Yellow)＜オレンジ(Orange）＜赤(Red)＜緑(Green)になります。
ミカン機（風向可変装置付き）の場合は、（白）の噴板から選択して下さい。
ドリフト低減ノズル(SV,CV)の場合は、適正圧力の1.5MPa以下で使用して下さい。</t>
        </r>
      </text>
    </comment>
    <comment ref="I14" authorId="2" shapeId="0" xr:uid="{0399B5A0-2FAE-4150-81CB-2E6EFA63CEAA}">
      <text>
        <r>
          <rPr>
            <sz val="9"/>
            <color indexed="81"/>
            <rFont val="ＭＳ Ｐゴシック"/>
            <family val="3"/>
            <charset val="128"/>
          </rPr>
          <t>Number of Nozzles
両側散布で使用する噴霧ノズルの個数を入力してください。</t>
        </r>
      </text>
    </comment>
    <comment ref="J14" authorId="0" shapeId="0" xr:uid="{0F3EE4D7-2EF7-4D82-AE8C-E5F376F8945F}">
      <text>
        <r>
          <rPr>
            <sz val="9"/>
            <color indexed="81"/>
            <rFont val="MS P ゴシック"/>
            <family val="3"/>
            <charset val="128"/>
          </rPr>
          <t>Nozzle Flow Rate(L/min)
ノズル1個当たりの吐出量×個数を表示します。</t>
        </r>
      </text>
    </comment>
    <comment ref="B16" authorId="0" shapeId="0" xr:uid="{55CC720A-BB61-4CA8-A890-C3D44311B3EF}">
      <text>
        <r>
          <rPr>
            <sz val="9"/>
            <color indexed="81"/>
            <rFont val="MS P ゴシック"/>
            <family val="3"/>
            <charset val="128"/>
          </rPr>
          <t>Spray Width (Row Spacing)
散布作業を行う圃場の散布幅（列間隔）を入力して下さい。
１０aあたりの走行距離がわかります。
㈱ショーシンの算出用標準値（平均）は5.6mです。</t>
        </r>
      </text>
    </comment>
    <comment ref="L16" authorId="0" shapeId="0" xr:uid="{5A4122D6-BF5B-42F9-B44B-C1DADBC78430}">
      <text>
        <r>
          <rPr>
            <sz val="9"/>
            <color indexed="81"/>
            <rFont val="MS P ゴシック"/>
            <family val="3"/>
            <charset val="128"/>
          </rPr>
          <t>Maximum Number of Nozzles
選択した製品名で使用できるノズルの最大個数です。
最大個数まで使用しないとき、スイッチノズルでは、ノズル本体を90度回転させると、噴霧を停止させることができます。</t>
        </r>
      </text>
    </comment>
    <comment ref="C17" authorId="0" shapeId="0" xr:uid="{2809A0F5-F025-46BE-94CD-547EBC07F7FB}">
      <text>
        <r>
          <rPr>
            <sz val="9"/>
            <color indexed="81"/>
            <rFont val="MS P ゴシック"/>
            <family val="3"/>
            <charset val="128"/>
          </rPr>
          <t>Travel Distance (Course Length)
散布幅を選択すると、走行距離が表示されます。
走行距離が正確になると、散布量計算の精度が向上しますので、圃場の列間隔を測定して入力することをお勧めします。</t>
        </r>
      </text>
    </comment>
    <comment ref="B18" authorId="0" shapeId="0" xr:uid="{6E555492-F078-4395-8CA6-1D73F9665464}">
      <text>
        <r>
          <rPr>
            <sz val="9"/>
            <color indexed="81"/>
            <rFont val="MS P ゴシック"/>
            <family val="3"/>
            <charset val="128"/>
          </rPr>
          <t>Spray Pressure
噴霧圧力は、防除効果の高い粒子径を生成する、1.5MPaを推奨します。</t>
        </r>
      </text>
    </comment>
    <comment ref="I18" authorId="3" shapeId="0" xr:uid="{BF036E26-8E64-4900-912C-41D6B72C9659}">
      <text>
        <r>
          <rPr>
            <sz val="9"/>
            <color indexed="81"/>
            <rFont val="ＭＳ Ｐゴシック"/>
            <family val="3"/>
            <charset val="128"/>
          </rPr>
          <t>Total Number
噴霧ノズル個数の合計は、最大個数を超えないように設定して下さい。
超えた場合は、セルが赤くなります。
Total number≦Maximun number</t>
        </r>
      </text>
    </comment>
    <comment ref="J18" authorId="1" shapeId="0" xr:uid="{D90A3AB5-68FD-4A14-9E14-A9507BD6C5FE}">
      <text>
        <r>
          <rPr>
            <sz val="9"/>
            <rFont val="ＭＳ Ｐゴシック"/>
            <family val="3"/>
            <charset val="134"/>
          </rPr>
          <t>Total Nozzle Output (L/min)
噴霧ノズルの合計吐出量は、噴霧ポンプの吐出量を超えないようにして下さい。</t>
        </r>
      </text>
    </comment>
    <comment ref="D20" authorId="3" shapeId="0" xr:uid="{3A3A43E1-A1ED-4D93-8A2E-86B8FA0EAECE}">
      <text>
        <r>
          <rPr>
            <sz val="9"/>
            <color indexed="81"/>
            <rFont val="ＭＳ Ｐゴシック"/>
            <family val="3"/>
            <charset val="128"/>
          </rPr>
          <t>Spray Volume
エンジン回転数と車速段ごとの、10aにおける散布量表です。
栽培品目や季節により、各地域の防除暦を参考に散布量を選択して下さい。</t>
        </r>
      </text>
    </comment>
    <comment ref="B21" authorId="0" shapeId="0" xr:uid="{10D05B4C-A1C2-4B7A-A320-452617C8317B}">
      <text>
        <r>
          <rPr>
            <sz val="9"/>
            <color indexed="81"/>
            <rFont val="MS P ゴシック"/>
            <family val="3"/>
            <charset val="128"/>
          </rPr>
          <t>Engine RPM
選択した製品名で使用できるエンジン回転数に、散布量が表示されます。
散布作業におけるエンジン回転数は、定格（最高）回転数で作業することが基本です。
車速と使用時風量および噴霧ポンプ吐出量は、エンジン回転数に連動します。
栽培品目や圃場形態、季節などの条件でエンジン回転数を下げる場合は、使用時風量や噴霧ポンプ吐出量が不足しないかをよく確認して、選択して下さい。</t>
        </r>
      </text>
    </comment>
    <comment ref="B22" authorId="0" shapeId="0" xr:uid="{0EF0645B-DA15-40DF-B143-A724002C0A6D}">
      <text>
        <r>
          <rPr>
            <sz val="9"/>
            <color indexed="81"/>
            <rFont val="MS P ゴシック"/>
            <family val="3"/>
            <charset val="128"/>
          </rPr>
          <t>Gearshift
選択した製品名で使用可能な車速段に、散布量が表示されます。
車速段は、製品により車速の遅い順序が異なります。
車速が遅い順に、次の仕様があります。
①低-1＜中-1＜低-2＜中-2＜低-3＜中-3
②低-1＜低-2＜低-3＜中-1＜中-2＜中-3
③低-1＜低-2＜低-3
※ステッカーの表示は、
低(Lまたは亀),中(M),高(Hまたはウサギ)です。
車速が速いと、霧が後方に流れて薬液の到達距離が短くなり、防除効果が低下しますので注意が必要です。</t>
        </r>
      </text>
    </comment>
    <comment ref="B29" authorId="0" shapeId="0" xr:uid="{DEF53EF3-BE05-47EA-A3CF-8372F5C4B03D}">
      <text>
        <r>
          <rPr>
            <sz val="9"/>
            <color indexed="81"/>
            <rFont val="MS P ゴシック"/>
            <family val="3"/>
            <charset val="128"/>
          </rPr>
          <t>Pump Output (L/min)
選択した製品名の、各エンジン回転数における噴霧ポンプ吐出量が表示されます。
噴霧ノズルの合計吐出量が噴霧ポンプの吐出量より大きいと、噴霧圧力が上がらない、もしくは不安定になる可能性があります。このときは、数値が斜体文字（グレー背景）になります。
Total nozzle output＜Pump output</t>
        </r>
      </text>
    </comment>
    <comment ref="B30" authorId="0" shapeId="0" xr:uid="{EBE6F9B8-8C50-48F9-AC6E-BB36FB8F3136}">
      <text>
        <r>
          <rPr>
            <sz val="9"/>
            <color indexed="81"/>
            <rFont val="MS P ゴシック"/>
            <family val="3"/>
            <charset val="128"/>
          </rPr>
          <t>Air Volume (m3/min)　Air volume switching lever H/L
選択した製品名の、各エンジン回転数における使用時風量が表示されます。
使用時風量は散布幅や樹高を考慮し、薬液が到達してかつ葉揺れを起こして薬液が葉の両面に適切に付着するように、エンジン回転数を設定して下さい。
送風ファン変速レバーが装備された機種では、高速側のときは(H)、低速側のときは(L)に風量が表示されます。
送風ファン変速レバーがない機種は、(H)に表示されます。</t>
        </r>
      </text>
    </comment>
    <comment ref="B32" authorId="0" shapeId="0" xr:uid="{FAC10CBE-1A50-48D9-A500-DF55FFD1EF75}">
      <text>
        <r>
          <rPr>
            <sz val="9"/>
            <color indexed="81"/>
            <rFont val="MS P ゴシック"/>
            <family val="3"/>
            <charset val="128"/>
          </rPr>
          <t>Travel Time (min/10a)
選択した製品名の、各エンジン回転数における10a当たりの散布時間が表示されます。
防除効果の向上と安全作業のために、できるだけ遅い車速を選択して下さい。</t>
        </r>
        <r>
          <rPr>
            <b/>
            <sz val="9"/>
            <color indexed="81"/>
            <rFont val="MS P ゴシック"/>
            <family val="3"/>
            <charset val="128"/>
          </rPr>
          <t xml:space="preserve">
</t>
        </r>
      </text>
    </comment>
    <comment ref="C32" authorId="0" shapeId="0" xr:uid="{36D0C31F-EDFE-436D-BE9A-F0AAADB18722}">
      <text>
        <r>
          <rPr>
            <sz val="9"/>
            <color indexed="81"/>
            <rFont val="MS P ゴシック"/>
            <family val="3"/>
            <charset val="128"/>
          </rPr>
          <t>Gearshift
選択した車速段での散布時間を表示します。</t>
        </r>
      </text>
    </comment>
    <comment ref="B35" authorId="0" shapeId="0" xr:uid="{B266FFE4-5EC0-4E1E-B335-3E54DDBD5225}">
      <text>
        <r>
          <rPr>
            <sz val="9"/>
            <color indexed="81"/>
            <rFont val="MS P ゴシック"/>
            <family val="3"/>
            <charset val="128"/>
          </rPr>
          <t>Spray Plan 2</t>
        </r>
      </text>
    </comment>
    <comment ref="B37" authorId="0" shapeId="0" xr:uid="{8035B052-F1C3-4869-8530-FC36CF4B2966}">
      <text>
        <r>
          <rPr>
            <sz val="9"/>
            <color indexed="81"/>
            <rFont val="MS P ゴシック"/>
            <family val="3"/>
            <charset val="128"/>
          </rPr>
          <t xml:space="preserve">Cultivated Items
計算対象の栽培品目等を選択して下さい。
任意の圃場名でも入力できます。
</t>
        </r>
      </text>
    </comment>
    <comment ref="G37" authorId="0" shapeId="0" xr:uid="{BB115C6D-C73B-43E3-AA2B-4B0419C0259C}">
      <text>
        <r>
          <rPr>
            <sz val="9"/>
            <color indexed="81"/>
            <rFont val="MS P ゴシック"/>
            <family val="3"/>
            <charset val="128"/>
          </rPr>
          <t>Nozzle Direction
ノズルの噴霧方向を選択してください。
　立木の圃場では、奥行きのある「斜め上」方向に多く(吐出量全体の60～70%)噴霧すると、防除効果が向上します。
　棚園では、風圧板を装着してSS上部の風量を弱めると、葉が適度に揺動し薬液がよく付着します。散布幅が広い圃場では、下部のノズルは止めずに、到達距離の長い標準ノズルで隣のコースの散布範囲との境目付近の棚面を重なるように散布すると効果的です。</t>
        </r>
      </text>
    </comment>
    <comment ref="H37" authorId="1" shapeId="0" xr:uid="{B3B59658-9B51-412D-8FA0-C64144BB6896}">
      <text>
        <r>
          <rPr>
            <sz val="9"/>
            <rFont val="ＭＳ Ｐゴシック"/>
            <family val="3"/>
            <charset val="134"/>
          </rPr>
          <t>Disc Size (Spray Tip)
ノズル噴板の種類を選択して下さい。
標準ノズルは立木向け、広角ノズルは棚園・わい化園向けです。
吐出量の小さい順に、
標準側は、Φ0.8＜Φ1.0＜Φ1.2＜Φ1.5＜Φ1.8
  　　※(3H)はスリーホール中子 (3 hole core)
広角側は、黄 (Yellow)＜オレンジ(Orange）＜赤(Red)＜緑(Green)になります。
ミカン機（風向可変装置付き）の場合は、（白）の噴板から選択して下さい。
ドリフト低減ノズル(SV,CV)の場合は、適正圧力の1.5MPa以下で使用して下さい。</t>
        </r>
      </text>
    </comment>
    <comment ref="I37" authorId="2" shapeId="0" xr:uid="{9072FF8D-C189-4C26-9C92-65E7CA5A1B7C}">
      <text>
        <r>
          <rPr>
            <sz val="9"/>
            <color indexed="81"/>
            <rFont val="ＭＳ Ｐゴシック"/>
            <family val="3"/>
            <charset val="128"/>
          </rPr>
          <t>Number of Nozzles
両側散布で使用する噴霧ノズルの個数を入力してください。</t>
        </r>
      </text>
    </comment>
    <comment ref="J37" authorId="0" shapeId="0" xr:uid="{2CE43FE5-04BD-4FE8-91DB-A275588A3F60}">
      <text>
        <r>
          <rPr>
            <sz val="9"/>
            <color indexed="81"/>
            <rFont val="MS P ゴシック"/>
            <family val="3"/>
            <charset val="128"/>
          </rPr>
          <t>Nozzle Flow Rate(L/min)
ノズル1個当たりの吐出量×個数を表示します。</t>
        </r>
      </text>
    </comment>
    <comment ref="B39" authorId="0" shapeId="0" xr:uid="{191847F9-1F8E-4582-A3FF-3BC53887EA81}">
      <text>
        <r>
          <rPr>
            <sz val="9"/>
            <color indexed="81"/>
            <rFont val="MS P ゴシック"/>
            <family val="3"/>
            <charset val="128"/>
          </rPr>
          <t>Spray Width (Row Spacing)
散布作業を行う圃場の散布幅（列間隔）を入力して下さい。
１０aあたりの走行距離がわかります。
㈱ショーシンの算出用標準値（平均）は5.6mです。</t>
        </r>
      </text>
    </comment>
    <comment ref="L39" authorId="0" shapeId="0" xr:uid="{859F027E-81BB-47A5-ACEC-B3BE15B1D585}">
      <text>
        <r>
          <rPr>
            <sz val="9"/>
            <color indexed="81"/>
            <rFont val="MS P ゴシック"/>
            <family val="3"/>
            <charset val="128"/>
          </rPr>
          <t>Maximum Number of Nozzles
選択した製品名で使用できるノズルの最大個数です。
最大個数まで使用しないとき、スイッチノズルでは、ノズル本体を90度回転させると、噴霧を停止させることができます。</t>
        </r>
      </text>
    </comment>
    <comment ref="C40" authorId="0" shapeId="0" xr:uid="{6BD23E9B-4B94-4F06-994C-432137C9487E}">
      <text>
        <r>
          <rPr>
            <sz val="9"/>
            <color indexed="81"/>
            <rFont val="MS P ゴシック"/>
            <family val="3"/>
            <charset val="128"/>
          </rPr>
          <t>Travel Distance (Course Length)
散布幅を選択すると、走行距離が表示されます。
走行距離が正確になると、散布量計算の精度が向上しますので、圃場の列間隔を測定して入力することをお勧めします。</t>
        </r>
      </text>
    </comment>
    <comment ref="B41" authorId="0" shapeId="0" xr:uid="{5CF830CA-B0ED-4867-8B92-654EA7356AA4}">
      <text>
        <r>
          <rPr>
            <sz val="9"/>
            <color indexed="81"/>
            <rFont val="MS P ゴシック"/>
            <family val="3"/>
            <charset val="128"/>
          </rPr>
          <t>Spray Pressure
噴霧圧力は、防除効果の高い粒子径を生成する、1.5MPaを推奨します。</t>
        </r>
      </text>
    </comment>
    <comment ref="I41" authorId="3" shapeId="0" xr:uid="{C1DE7AA2-DA47-47B8-8D38-D00C6464336B}">
      <text>
        <r>
          <rPr>
            <sz val="9"/>
            <color indexed="81"/>
            <rFont val="ＭＳ Ｐゴシック"/>
            <family val="3"/>
            <charset val="128"/>
          </rPr>
          <t>Total Number
噴霧ノズル個数の合計は、最大個数を超えないように設定して下さい。
超えた場合は、セルが赤くなります。
Total number≦Maximun number</t>
        </r>
      </text>
    </comment>
    <comment ref="J41" authorId="1" shapeId="0" xr:uid="{628419A6-9453-4816-9922-AF6E436FE6CE}">
      <text>
        <r>
          <rPr>
            <sz val="9"/>
            <rFont val="ＭＳ Ｐゴシック"/>
            <family val="3"/>
            <charset val="134"/>
          </rPr>
          <t>Total Nozzle Output (L/min)
噴霧ノズルの合計吐出量は、噴霧ポンプの吐出量を超えないようにして下さい。</t>
        </r>
      </text>
    </comment>
    <comment ref="D43" authorId="3" shapeId="0" xr:uid="{9F983771-67DA-4487-A3AC-CC4B7F2B58E1}">
      <text>
        <r>
          <rPr>
            <sz val="9"/>
            <color indexed="81"/>
            <rFont val="ＭＳ Ｐゴシック"/>
            <family val="3"/>
            <charset val="128"/>
          </rPr>
          <t>Spray Volume
エンジン回転数と車速段ごとの、10aにおける散布量表です。
栽培品目や季節により、各地域の防除暦を参考に散布量を選択して下さい。</t>
        </r>
      </text>
    </comment>
    <comment ref="B44" authorId="0" shapeId="0" xr:uid="{2745348D-DE7A-4156-BE37-CDCCCF0B8462}">
      <text>
        <r>
          <rPr>
            <sz val="9"/>
            <color indexed="81"/>
            <rFont val="MS P ゴシック"/>
            <family val="3"/>
            <charset val="128"/>
          </rPr>
          <t>Engine RPM
選択した製品名で使用できるエンジン回転数に、散布量が表示されます。
散布作業におけるエンジン回転数は、定格（最高）回転数で作業することが基本です。
車速と使用時風量および噴霧ポンプ吐出量は、エンジン回転数に連動します。
栽培品目や圃場形態、季節などの条件でエンジン回転数を下げる場合は、使用時風量や噴霧ポンプ吐出量が不足しないかをよく確認して、選択して下さい。</t>
        </r>
      </text>
    </comment>
    <comment ref="B45" authorId="0" shapeId="0" xr:uid="{92E5D6A0-4A6D-4F66-81A9-42057191157B}">
      <text>
        <r>
          <rPr>
            <sz val="9"/>
            <color indexed="81"/>
            <rFont val="MS P ゴシック"/>
            <family val="3"/>
            <charset val="128"/>
          </rPr>
          <t>Gearshift
選択した製品名で使用可能な車速段に、散布量が表示されます。
車速段は、製品により車速の遅い順序が異なります。
車速が遅い順に、次の仕様があります。
①低-1＜中-1＜低-2＜中-2＜低-3＜中-3
②低-1＜低-2＜低-3＜中-1＜中-2＜中-3
③低-1＜低-2＜低-3
※ステッカーの表示は、
低(Lまたは亀),中(M),高(Hまたはウサギ)です。
車速が速いと、霧が後方に流れて薬液の到達距離が短くなり、防除効果が低下しますので注意が必要です。</t>
        </r>
      </text>
    </comment>
    <comment ref="B52" authorId="0" shapeId="0" xr:uid="{5AA3C300-FA15-401A-B51F-6B5143379A63}">
      <text>
        <r>
          <rPr>
            <sz val="9"/>
            <color indexed="81"/>
            <rFont val="MS P ゴシック"/>
            <family val="3"/>
            <charset val="128"/>
          </rPr>
          <t>Pump Output (L/min)
選択した製品名の、各エンジン回転数における噴霧ポンプ吐出量が表示されます。
噴霧ノズルの合計吐出量が噴霧ポンプの吐出量より大きいと、噴霧圧力が上がらない、もしくは不安定になる可能性があります。このときは、数値が斜体文字（グレー背景）になります。
Total nozzle output＜Pump output</t>
        </r>
      </text>
    </comment>
    <comment ref="B53" authorId="0" shapeId="0" xr:uid="{453C1160-DB66-43E6-956A-C8545C6E72A2}">
      <text>
        <r>
          <rPr>
            <sz val="9"/>
            <color indexed="81"/>
            <rFont val="MS P ゴシック"/>
            <family val="3"/>
            <charset val="128"/>
          </rPr>
          <t>Air Volume (m3/min)　Air volume switching lever H/L
選択した製品名の、各エンジン回転数における使用時風量が表示されます。
使用時風量は散布幅や樹高を考慮し、薬液が到達してかつ葉揺れを起こして薬液が葉の両面に適切に付着するように、エンジン回転数を設定して下さい。
送風ファン変速レバーが装備された機種では、高速側のときは(H)、低速側のときは(L)に風量が表示されます。
送風ファン変速レバーがない機種は、(H)に表示されます。</t>
        </r>
      </text>
    </comment>
    <comment ref="B55" authorId="0" shapeId="0" xr:uid="{D5A5579F-5E3F-4EA2-B069-EB527D5C5A48}">
      <text>
        <r>
          <rPr>
            <sz val="9"/>
            <color indexed="81"/>
            <rFont val="MS P ゴシック"/>
            <family val="3"/>
            <charset val="128"/>
          </rPr>
          <t>Travel Time (min/10a)
選択した製品名の、各エンジン回転数における10a当たりの散布時間が表示されます。
防除効果の向上と安全作業のために、できるだけ遅い車速を選択して下さい。</t>
        </r>
        <r>
          <rPr>
            <b/>
            <sz val="9"/>
            <color indexed="81"/>
            <rFont val="MS P ゴシック"/>
            <family val="3"/>
            <charset val="128"/>
          </rPr>
          <t xml:space="preserve">
</t>
        </r>
      </text>
    </comment>
    <comment ref="C55" authorId="0" shapeId="0" xr:uid="{77B14CD5-051F-4548-8413-8693ADB0C59F}">
      <text>
        <r>
          <rPr>
            <sz val="9"/>
            <color indexed="81"/>
            <rFont val="MS P ゴシック"/>
            <family val="3"/>
            <charset val="128"/>
          </rPr>
          <t>Gearshift
選択した車速段での散布時間を表示します。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USER_SYSTEM_01</author>
    <author>Windows User</author>
  </authors>
  <commentList>
    <comment ref="B1" authorId="0" shapeId="0" xr:uid="{E842919E-EF17-4E21-931F-846AD9788CFC}">
      <text>
        <r>
          <rPr>
            <b/>
            <sz val="9"/>
            <color indexed="81"/>
            <rFont val="MS P ゴシック"/>
            <family val="3"/>
            <charset val="128"/>
          </rPr>
          <t>低-1と同じように、中-1、低-2・・・も同じように入力する</t>
        </r>
      </text>
    </comment>
    <comment ref="B2" authorId="0" shapeId="0" xr:uid="{41D3E3F1-5401-4888-AA4A-12CF32BE2498}">
      <text>
        <r>
          <rPr>
            <b/>
            <sz val="9"/>
            <color indexed="81"/>
            <rFont val="MS P ゴシック"/>
            <family val="3"/>
            <charset val="128"/>
          </rPr>
          <t xml:space="preserve">2500の車速×0.96（2500÷2500)する
</t>
        </r>
      </text>
    </comment>
    <comment ref="C2" authorId="1" shapeId="0" xr:uid="{2B293B62-EF28-46C2-8C42-43E23B0B1823}">
      <text>
        <r>
          <rPr>
            <sz val="9"/>
            <rFont val="ＭＳ Ｐゴシック"/>
            <family val="3"/>
            <charset val="134"/>
          </rPr>
          <t xml:space="preserve">2600の車速×0.96または最高回転数が2500のときは直接入力する
</t>
        </r>
      </text>
    </comment>
    <comment ref="D2" authorId="1" shapeId="0" xr:uid="{20B30372-C376-4B09-85AD-B9C3A6259384}">
      <text>
        <r>
          <rPr>
            <sz val="9"/>
            <rFont val="ＭＳ Ｐゴシック"/>
            <family val="3"/>
            <charset val="134"/>
          </rPr>
          <t xml:space="preserve">2700の車速×0.96または最高回転数が2600のときは直接入力する
</t>
        </r>
      </text>
    </comment>
    <comment ref="E2" authorId="1" shapeId="0" xr:uid="{E3DE06BB-B8CC-42ED-B3F2-AB829672CF7B}">
      <text>
        <r>
          <rPr>
            <sz val="9"/>
            <rFont val="ＭＳ Ｐゴシック"/>
            <family val="3"/>
            <charset val="134"/>
          </rPr>
          <t>2800の車速×0.96または最高回転数が2700のときは直接入力する</t>
        </r>
      </text>
    </comment>
    <comment ref="F2" authorId="0" shapeId="0" xr:uid="{B6926A97-5435-4CD2-8DF5-30B5B3E1F24F}">
      <text>
        <r>
          <rPr>
            <b/>
            <sz val="9"/>
            <color indexed="81"/>
            <rFont val="MS P ゴシック"/>
            <family val="3"/>
            <charset val="128"/>
          </rPr>
          <t>最高回転数が2800のときは直接入力する</t>
        </r>
      </text>
    </comment>
    <comment ref="AG2" authorId="0" shapeId="0" xr:uid="{63A3A324-4598-49BB-9A93-A1477ED2C310}">
      <text>
        <r>
          <rPr>
            <b/>
            <sz val="9"/>
            <color indexed="81"/>
            <rFont val="MS P ゴシック"/>
            <family val="3"/>
            <charset val="128"/>
          </rPr>
          <t>カタログ値（余水分を引く前）を入力します。</t>
        </r>
      </text>
    </comment>
  </commentList>
</comments>
</file>

<file path=xl/sharedStrings.xml><?xml version="1.0" encoding="utf-8"?>
<sst xmlns="http://schemas.openxmlformats.org/spreadsheetml/2006/main" count="322" uniqueCount="217">
  <si>
    <t>散布量計算</t>
  </si>
  <si>
    <t>お客様</t>
  </si>
  <si>
    <t>おところ</t>
  </si>
  <si>
    <t>お名前</t>
  </si>
  <si>
    <t>様</t>
  </si>
  <si>
    <t>製品名</t>
  </si>
  <si>
    <t>3S-</t>
  </si>
  <si>
    <t>作成</t>
  </si>
  <si>
    <t>噴霧方向</t>
  </si>
  <si>
    <t>噴板名称</t>
  </si>
  <si>
    <t>個数</t>
  </si>
  <si>
    <t>吐出量</t>
  </si>
  <si>
    <t>オレンジ</t>
  </si>
  <si>
    <t>Φ1.8</t>
  </si>
  <si>
    <t>走行距離</t>
  </si>
  <si>
    <t>(m/10a)</t>
  </si>
  <si>
    <t>噴霧ポンプ圧力</t>
  </si>
  <si>
    <t>(MPa)</t>
  </si>
  <si>
    <t>合　計</t>
  </si>
  <si>
    <t>(L/分）</t>
  </si>
  <si>
    <t>散　布　量　（L/10a）</t>
  </si>
  <si>
    <t>エンジン回転数(rpm)</t>
  </si>
  <si>
    <t>車速段</t>
  </si>
  <si>
    <t>低 - 1</t>
  </si>
  <si>
    <t>中 - 1</t>
  </si>
  <si>
    <t>低 - 2</t>
  </si>
  <si>
    <t>中 - 2</t>
  </si>
  <si>
    <t>低 - 3</t>
  </si>
  <si>
    <t>中 - 3</t>
  </si>
  <si>
    <t>1.5MPa＝15bar≒15kgf/cm2です。</t>
  </si>
  <si>
    <t>※計算上の判断により、取扱説明書と若干異なる場合があります。</t>
  </si>
  <si>
    <t>車速</t>
  </si>
  <si>
    <t>低-1</t>
  </si>
  <si>
    <t>中-1</t>
  </si>
  <si>
    <t>低-2</t>
  </si>
  <si>
    <t>中-2</t>
  </si>
  <si>
    <t>低-3</t>
  </si>
  <si>
    <t>中-3</t>
  </si>
  <si>
    <t>作業条件①</t>
  </si>
  <si>
    <t>名　称</t>
  </si>
  <si>
    <t>吐出量1</t>
  </si>
  <si>
    <t>吐出量1.5</t>
  </si>
  <si>
    <t>吐出量2</t>
  </si>
  <si>
    <t>吐出量計</t>
  </si>
  <si>
    <t>計</t>
  </si>
  <si>
    <t>(L/分)</t>
  </si>
  <si>
    <t>m</t>
  </si>
  <si>
    <t>散布量</t>
  </si>
  <si>
    <t>作業条件②</t>
  </si>
  <si>
    <t>定格エンジン回転数/車速</t>
  </si>
  <si>
    <t>C622PC</t>
  </si>
  <si>
    <t>CT1020</t>
  </si>
  <si>
    <t>CT1050HS/JA1050HC/CE1050HC/FST1050HC</t>
  </si>
  <si>
    <t>FSC615W</t>
  </si>
  <si>
    <t>FSC1015W</t>
  </si>
  <si>
    <t>FSC641/FSC1041</t>
  </si>
  <si>
    <t>V630</t>
  </si>
  <si>
    <t>1.0MPa</t>
  </si>
  <si>
    <t>1.5MPa</t>
  </si>
  <si>
    <t>2.0MPa</t>
  </si>
  <si>
    <t>Φ0.8</t>
  </si>
  <si>
    <t>0.98</t>
  </si>
  <si>
    <t>1.21</t>
  </si>
  <si>
    <t>3m</t>
  </si>
  <si>
    <t>Φ1.0</t>
  </si>
  <si>
    <t>1.29</t>
  </si>
  <si>
    <t>4m</t>
  </si>
  <si>
    <t>Φ1.2</t>
  </si>
  <si>
    <t>1.72</t>
  </si>
  <si>
    <t>2.10</t>
  </si>
  <si>
    <t>5m</t>
  </si>
  <si>
    <t>Φ1.5</t>
  </si>
  <si>
    <t>2.35</t>
  </si>
  <si>
    <t>Φ1.5(3H)</t>
  </si>
  <si>
    <t>4.23</t>
  </si>
  <si>
    <t>4.89</t>
  </si>
  <si>
    <t>6m</t>
  </si>
  <si>
    <t>2.80</t>
  </si>
  <si>
    <t>3.50</t>
  </si>
  <si>
    <t>7m</t>
  </si>
  <si>
    <t>Φ1.8(3H)</t>
  </si>
  <si>
    <t>5.04</t>
  </si>
  <si>
    <t>8m</t>
  </si>
  <si>
    <t>1.34</t>
  </si>
  <si>
    <t>1.01</t>
  </si>
  <si>
    <t>1.94</t>
  </si>
  <si>
    <t>2.42</t>
  </si>
  <si>
    <t>3.5m</t>
    <phoneticPr fontId="16"/>
  </si>
  <si>
    <t>4.5m</t>
    <phoneticPr fontId="16"/>
  </si>
  <si>
    <t>6.5m</t>
    <phoneticPr fontId="16"/>
  </si>
  <si>
    <t>7.5m</t>
    <phoneticPr fontId="16"/>
  </si>
  <si>
    <t>噴霧ポンプ</t>
    <rPh sb="0" eb="2">
      <t>フンム</t>
    </rPh>
    <phoneticPr fontId="16"/>
  </si>
  <si>
    <t>最大吐出量</t>
    <rPh sb="0" eb="5">
      <t>サイダイトシュツリョウ</t>
    </rPh>
    <phoneticPr fontId="16"/>
  </si>
  <si>
    <t>C522(PC)/C521/FS521(A)/FS522PC</t>
    <phoneticPr fontId="16"/>
  </si>
  <si>
    <t>C522S/C518</t>
    <phoneticPr fontId="16"/>
  </si>
  <si>
    <t>VE640C</t>
    <phoneticPr fontId="16"/>
  </si>
  <si>
    <t>VT1050(C)</t>
    <phoneticPr fontId="16"/>
  </si>
  <si>
    <t>L/分</t>
    <rPh sb="2" eb="3">
      <t>フン</t>
    </rPh>
    <phoneticPr fontId="16"/>
  </si>
  <si>
    <t>Φ1.2(3H)</t>
    <phoneticPr fontId="16"/>
  </si>
  <si>
    <t>2.58</t>
    <phoneticPr fontId="16"/>
  </si>
  <si>
    <t>V522</t>
    <phoneticPr fontId="16"/>
  </si>
  <si>
    <t>V518(A)</t>
    <phoneticPr fontId="16"/>
  </si>
  <si>
    <t>YE1051HC/YSE1051HC/YE1050HC/YM1050HC/YMS1050HC</t>
    <phoneticPr fontId="16"/>
  </si>
  <si>
    <t>VE1050C/CE1051HC/FSE1051HC</t>
    <phoneticPr fontId="16"/>
  </si>
  <si>
    <t>C1050HS/JA1051HC</t>
    <phoneticPr fontId="16"/>
  </si>
  <si>
    <t>VE642C/CE642HC/FS642HC</t>
    <phoneticPr fontId="16"/>
  </si>
  <si>
    <t>VE1052C</t>
    <phoneticPr fontId="16"/>
  </si>
  <si>
    <t>CE1052HC/FSE1052HC</t>
    <phoneticPr fontId="16"/>
  </si>
  <si>
    <t>噴霧ポンプ圧力の標準値と単位は、</t>
    <rPh sb="8" eb="11">
      <t>ヒョウジュンチ</t>
    </rPh>
    <phoneticPr fontId="16"/>
  </si>
  <si>
    <t>ノズル個数</t>
    <rPh sb="3" eb="5">
      <t>コスウ</t>
    </rPh>
    <phoneticPr fontId="16"/>
  </si>
  <si>
    <t>V521(A)</t>
    <phoneticPr fontId="16"/>
  </si>
  <si>
    <t>散布幅</t>
    <rPh sb="0" eb="2">
      <t>サンプ</t>
    </rPh>
    <rPh sb="2" eb="3">
      <t>ハバ</t>
    </rPh>
    <phoneticPr fontId="16"/>
  </si>
  <si>
    <t>走行距離（ｍ）</t>
    <rPh sb="0" eb="2">
      <t>ソウコウ</t>
    </rPh>
    <rPh sb="2" eb="4">
      <t>キョリ</t>
    </rPh>
    <phoneticPr fontId="16"/>
  </si>
  <si>
    <t>V600W</t>
    <phoneticPr fontId="16"/>
  </si>
  <si>
    <t>VT600W</t>
    <phoneticPr fontId="16"/>
  </si>
  <si>
    <t>C630S/CE(FS)630H/CE631H</t>
    <phoneticPr fontId="16"/>
  </si>
  <si>
    <t>CE(FST)640HC/CE641HC</t>
    <phoneticPr fontId="16"/>
  </si>
  <si>
    <t>使用時風量 (㎥）</t>
    <rPh sb="0" eb="3">
      <t>シヨウジ</t>
    </rPh>
    <rPh sb="3" eb="5">
      <t>フウリョウ</t>
    </rPh>
    <phoneticPr fontId="16"/>
  </si>
  <si>
    <t>H側</t>
    <rPh sb="1" eb="2">
      <t>ガワ</t>
    </rPh>
    <phoneticPr fontId="16"/>
  </si>
  <si>
    <t>L側</t>
    <rPh sb="1" eb="2">
      <t>ガワ</t>
    </rPh>
    <phoneticPr fontId="16"/>
  </si>
  <si>
    <t>風量　Ｈ側</t>
    <rPh sb="0" eb="2">
      <t>フウリョウ</t>
    </rPh>
    <rPh sb="4" eb="5">
      <t>ガワ</t>
    </rPh>
    <phoneticPr fontId="16"/>
  </si>
  <si>
    <t>風量　Ｌ側</t>
    <rPh sb="0" eb="2">
      <t>フウリョウ</t>
    </rPh>
    <rPh sb="4" eb="5">
      <t>ガワ</t>
    </rPh>
    <phoneticPr fontId="16"/>
  </si>
  <si>
    <t>噴霧ポンプ吐出量(L/m)</t>
    <rPh sb="0" eb="2">
      <t>フンム</t>
    </rPh>
    <rPh sb="5" eb="8">
      <t>トシュツリョウ</t>
    </rPh>
    <phoneticPr fontId="16"/>
  </si>
  <si>
    <t>風量(H/L)</t>
    <rPh sb="0" eb="2">
      <t>フウリョウ</t>
    </rPh>
    <phoneticPr fontId="16"/>
  </si>
  <si>
    <t>計算担当者</t>
    <phoneticPr fontId="16"/>
  </si>
  <si>
    <t>C615</t>
    <phoneticPr fontId="16"/>
  </si>
  <si>
    <t>CT615</t>
    <phoneticPr fontId="16"/>
  </si>
  <si>
    <t>C524P/C624P</t>
    <phoneticPr fontId="16"/>
  </si>
  <si>
    <t>C522S/Y</t>
    <phoneticPr fontId="16"/>
  </si>
  <si>
    <t>製 品 名</t>
    <rPh sb="0" eb="1">
      <t>セイ</t>
    </rPh>
    <phoneticPr fontId="16"/>
  </si>
  <si>
    <t>斜め上</t>
  </si>
  <si>
    <t>　散布量表の数値が斜体文字の場合、そのエンジン回転数では噴霧ポンプの吐出量が噴霧ノズルの吐出量よりも小さく、設定した噴霧圧力まで上がらない場合があります。</t>
    <phoneticPr fontId="16"/>
  </si>
  <si>
    <t>噴霧圧力</t>
    <phoneticPr fontId="16"/>
  </si>
  <si>
    <t>5.6m</t>
    <phoneticPr fontId="16"/>
  </si>
  <si>
    <t>4.5m</t>
  </si>
  <si>
    <t>噴霧ポンプ吐出量(L/分)</t>
    <rPh sb="0" eb="2">
      <t>フンム</t>
    </rPh>
    <rPh sb="5" eb="8">
      <t>トシュツリョウ</t>
    </rPh>
    <rPh sb="11" eb="12">
      <t>フン</t>
    </rPh>
    <phoneticPr fontId="16"/>
  </si>
  <si>
    <t>散布時間</t>
    <rPh sb="0" eb="2">
      <t>サンプ</t>
    </rPh>
    <rPh sb="2" eb="4">
      <t>ジカン</t>
    </rPh>
    <phoneticPr fontId="16"/>
  </si>
  <si>
    <t>低-1（分）</t>
  </si>
  <si>
    <t>ノズル個数</t>
    <phoneticPr fontId="16"/>
  </si>
  <si>
    <t>ブドウ</t>
  </si>
  <si>
    <t>低－1</t>
  </si>
  <si>
    <t>中－1</t>
  </si>
  <si>
    <t>低－2</t>
  </si>
  <si>
    <t>中－2</t>
  </si>
  <si>
    <t>低－3</t>
  </si>
  <si>
    <t>中－3</t>
  </si>
  <si>
    <t>ノズル</t>
    <phoneticPr fontId="16"/>
  </si>
  <si>
    <t>最大個数</t>
    <rPh sb="0" eb="2">
      <t>サイダイ</t>
    </rPh>
    <rPh sb="2" eb="4">
      <t>コスウ</t>
    </rPh>
    <phoneticPr fontId="16"/>
  </si>
  <si>
    <t>　　 　使用時風量　 (H)</t>
    <rPh sb="4" eb="7">
      <t>シヨウジ</t>
    </rPh>
    <rPh sb="7" eb="8">
      <t>カゼ</t>
    </rPh>
    <rPh sb="8" eb="9">
      <t>リョウ</t>
    </rPh>
    <phoneticPr fontId="16"/>
  </si>
  <si>
    <t>■計算条件-1</t>
    <rPh sb="1" eb="3">
      <t>ケイサン</t>
    </rPh>
    <rPh sb="3" eb="5">
      <t>ジョウケン</t>
    </rPh>
    <phoneticPr fontId="16"/>
  </si>
  <si>
    <t>■計算条件-2</t>
    <rPh sb="1" eb="3">
      <t>ケイサン</t>
    </rPh>
    <rPh sb="3" eb="5">
      <t>ジョウケン</t>
    </rPh>
    <phoneticPr fontId="16"/>
  </si>
  <si>
    <t>モモ</t>
  </si>
  <si>
    <t>噴霧ノズル
最大個数</t>
    <rPh sb="0" eb="2">
      <t>フンム</t>
    </rPh>
    <rPh sb="6" eb="8">
      <t>サイダイ</t>
    </rPh>
    <rPh sb="8" eb="10">
      <t>コスウ</t>
    </rPh>
    <phoneticPr fontId="16"/>
  </si>
  <si>
    <t>＜＜　金属製スイッチノズル　＞＞</t>
    <phoneticPr fontId="16"/>
  </si>
  <si>
    <t>栽培品目/圃場名</t>
    <rPh sb="7" eb="8">
      <t>メイ</t>
    </rPh>
    <phoneticPr fontId="16"/>
  </si>
  <si>
    <t>製品名</t>
    <rPh sb="0" eb="1">
      <t>セイ</t>
    </rPh>
    <phoneticPr fontId="16"/>
  </si>
  <si>
    <t>製　品　名</t>
    <rPh sb="0" eb="1">
      <t>セイ</t>
    </rPh>
    <phoneticPr fontId="16"/>
  </si>
  <si>
    <t>製品名</t>
    <rPh sb="0" eb="3">
      <t>セイヒンメイ</t>
    </rPh>
    <phoneticPr fontId="16"/>
  </si>
  <si>
    <t>エンジン定格回転数</t>
    <rPh sb="4" eb="6">
      <t>テイカク</t>
    </rPh>
    <rPh sb="6" eb="9">
      <t>カイテンスウ</t>
    </rPh>
    <phoneticPr fontId="16"/>
  </si>
  <si>
    <t>低-1</t>
    <rPh sb="0" eb="1">
      <t>テイ</t>
    </rPh>
    <phoneticPr fontId="16"/>
  </si>
  <si>
    <t>中-1</t>
    <rPh sb="0" eb="1">
      <t>チュウ</t>
    </rPh>
    <phoneticPr fontId="16"/>
  </si>
  <si>
    <t>低-2</t>
    <rPh sb="0" eb="1">
      <t>テイ</t>
    </rPh>
    <phoneticPr fontId="16"/>
  </si>
  <si>
    <t>中-2</t>
    <rPh sb="0" eb="1">
      <t>チュウ</t>
    </rPh>
    <phoneticPr fontId="16"/>
  </si>
  <si>
    <t>低-3</t>
    <rPh sb="0" eb="1">
      <t>テイ</t>
    </rPh>
    <phoneticPr fontId="16"/>
  </si>
  <si>
    <t>中-3</t>
    <rPh sb="0" eb="1">
      <t>チュウ</t>
    </rPh>
    <phoneticPr fontId="16"/>
  </si>
  <si>
    <t>定格回転時車速</t>
    <rPh sb="0" eb="2">
      <t>テイカク</t>
    </rPh>
    <rPh sb="2" eb="4">
      <t>カイテン</t>
    </rPh>
    <rPh sb="4" eb="5">
      <t>ジ</t>
    </rPh>
    <rPh sb="5" eb="7">
      <t>シャソク</t>
    </rPh>
    <phoneticPr fontId="16"/>
  </si>
  <si>
    <t>噴霧ポンプ吐出量</t>
    <rPh sb="0" eb="2">
      <t>フンム</t>
    </rPh>
    <rPh sb="5" eb="6">
      <t>ト</t>
    </rPh>
    <rPh sb="6" eb="8">
      <t>シュツリョウ</t>
    </rPh>
    <phoneticPr fontId="16"/>
  </si>
  <si>
    <t>使用時風量</t>
    <rPh sb="0" eb="3">
      <t>シヨウジ</t>
    </rPh>
    <rPh sb="3" eb="5">
      <t>フウリョウ</t>
    </rPh>
    <phoneticPr fontId="16"/>
  </si>
  <si>
    <t>km/h</t>
    <phoneticPr fontId="16"/>
  </si>
  <si>
    <t>㎥/分</t>
    <rPh sb="2" eb="3">
      <t>フン</t>
    </rPh>
    <phoneticPr fontId="16"/>
  </si>
  <si>
    <t>個</t>
    <rPh sb="0" eb="1">
      <t>コ</t>
    </rPh>
    <phoneticPr fontId="16"/>
  </si>
  <si>
    <t>rpm</t>
    <phoneticPr fontId="16"/>
  </si>
  <si>
    <t>←切り替えがない機種はH側に入力する。</t>
    <rPh sb="1" eb="2">
      <t>キ</t>
    </rPh>
    <rPh sb="3" eb="4">
      <t>カ</t>
    </rPh>
    <rPh sb="8" eb="10">
      <t>キシュ</t>
    </rPh>
    <rPh sb="12" eb="13">
      <t>ガワ</t>
    </rPh>
    <rPh sb="14" eb="16">
      <t>ニュウリョク</t>
    </rPh>
    <phoneticPr fontId="16"/>
  </si>
  <si>
    <t>←カタログ値（余水考慮前）を入力する。</t>
    <rPh sb="5" eb="6">
      <t>チ</t>
    </rPh>
    <rPh sb="7" eb="9">
      <t>ヨスイ</t>
    </rPh>
    <rPh sb="9" eb="11">
      <t>コウリョ</t>
    </rPh>
    <rPh sb="11" eb="12">
      <t>マエ</t>
    </rPh>
    <rPh sb="14" eb="16">
      <t>ニュウリョク</t>
    </rPh>
    <phoneticPr fontId="16"/>
  </si>
  <si>
    <t>←リストから選択（それ以外は対応不可）。</t>
    <rPh sb="6" eb="8">
      <t>センタク</t>
    </rPh>
    <rPh sb="11" eb="13">
      <t>イガイ</t>
    </rPh>
    <rPh sb="14" eb="16">
      <t>タイオウ</t>
    </rPh>
    <rPh sb="16" eb="18">
      <t>フカ</t>
    </rPh>
    <phoneticPr fontId="16"/>
  </si>
  <si>
    <t>←「中」がない機種は0。</t>
    <rPh sb="2" eb="3">
      <t>チュウ</t>
    </rPh>
    <rPh sb="7" eb="9">
      <t>キシュ</t>
    </rPh>
    <phoneticPr fontId="16"/>
  </si>
  <si>
    <t>追加する製品データを入力後、「製品データ追加」ボタンをクリックしてください。</t>
    <rPh sb="0" eb="2">
      <t>ツイカ</t>
    </rPh>
    <rPh sb="4" eb="6">
      <t>セイヒン</t>
    </rPh>
    <rPh sb="10" eb="12">
      <t>ニュウリョク</t>
    </rPh>
    <rPh sb="12" eb="13">
      <t>ゴ</t>
    </rPh>
    <rPh sb="15" eb="17">
      <t>セイヒン</t>
    </rPh>
    <rPh sb="20" eb="22">
      <t>ツイカ</t>
    </rPh>
    <phoneticPr fontId="16"/>
  </si>
  <si>
    <t>VE642C-2</t>
    <phoneticPr fontId="16"/>
  </si>
  <si>
    <t>黄</t>
    <phoneticPr fontId="16"/>
  </si>
  <si>
    <t>オレンジ</t>
    <phoneticPr fontId="16"/>
  </si>
  <si>
    <t>赤</t>
    <phoneticPr fontId="16"/>
  </si>
  <si>
    <t>緑</t>
    <phoneticPr fontId="16"/>
  </si>
  <si>
    <t>1.9</t>
  </si>
  <si>
    <t>2.3</t>
  </si>
  <si>
    <t>SV-30-55K</t>
  </si>
  <si>
    <t>2.5</t>
  </si>
  <si>
    <t>3.0</t>
  </si>
  <si>
    <t>CV1080</t>
  </si>
  <si>
    <t>0.9</t>
  </si>
  <si>
    <t>1.1</t>
  </si>
  <si>
    <t>CV1780</t>
  </si>
  <si>
    <t>SV-23-40K</t>
    <phoneticPr fontId="16"/>
  </si>
  <si>
    <r>
      <rPr>
        <b/>
        <sz val="12"/>
        <rFont val="ＭＳ Ｐゴシック"/>
        <family val="3"/>
        <charset val="128"/>
      </rPr>
      <t>車速</t>
    </r>
    <r>
      <rPr>
        <sz val="11"/>
        <rFont val="ＭＳ Ｐゴシック"/>
        <family val="3"/>
        <charset val="128"/>
      </rPr>
      <t xml:space="preserve">
(km/h)</t>
    </r>
    <phoneticPr fontId="16"/>
  </si>
  <si>
    <t>Travel speed</t>
  </si>
  <si>
    <r>
      <rPr>
        <b/>
        <sz val="12"/>
        <rFont val="ＭＳ Ｐゴシック"/>
        <family val="3"/>
        <charset val="128"/>
      </rPr>
      <t>散 布
時 間</t>
    </r>
    <r>
      <rPr>
        <sz val="11"/>
        <rFont val="ＭＳ Ｐゴシック"/>
        <family val="3"/>
        <charset val="128"/>
      </rPr>
      <t xml:space="preserve">
（分/10a）</t>
    </r>
    <rPh sb="0" eb="1">
      <t>サン</t>
    </rPh>
    <rPh sb="2" eb="3">
      <t>ヌノ</t>
    </rPh>
    <rPh sb="4" eb="5">
      <t>ジ</t>
    </rPh>
    <rPh sb="6" eb="7">
      <t>アイダ</t>
    </rPh>
    <rPh sb="9" eb="10">
      <t>フン</t>
    </rPh>
    <phoneticPr fontId="16"/>
  </si>
  <si>
    <t>Travel time
(min/10a)</t>
    <phoneticPr fontId="16"/>
  </si>
  <si>
    <t>横</t>
  </si>
  <si>
    <t xml:space="preserve"> (㎥/分)    (L)</t>
    <rPh sb="4" eb="5">
      <t>フン</t>
    </rPh>
    <phoneticPr fontId="16"/>
  </si>
  <si>
    <t>※入力したノズル個数と吐出量合計(L/分)が能力を超えていないか確認してください。</t>
    <rPh sb="1" eb="3">
      <t>ニュウリョク</t>
    </rPh>
    <phoneticPr fontId="16"/>
  </si>
  <si>
    <t>6.5m</t>
  </si>
  <si>
    <t>走行距離</t>
    <rPh sb="0" eb="2">
      <t>ソウコウ</t>
    </rPh>
    <rPh sb="2" eb="4">
      <t>キョリ</t>
    </rPh>
    <phoneticPr fontId="16"/>
  </si>
  <si>
    <t>縦(m)</t>
    <rPh sb="0" eb="1">
      <t>タテ</t>
    </rPh>
    <phoneticPr fontId="16"/>
  </si>
  <si>
    <t>=10a÷横幅(m)</t>
    <phoneticPr fontId="16"/>
  </si>
  <si>
    <t>=1000÷散布幅</t>
    <rPh sb="6" eb="8">
      <t>サンプ</t>
    </rPh>
    <rPh sb="8" eb="9">
      <t>ハバ</t>
    </rPh>
    <phoneticPr fontId="16"/>
  </si>
  <si>
    <t>=1000㎡÷（散布幅×2列）×2往復</t>
    <phoneticPr fontId="16"/>
  </si>
  <si>
    <t>=縦×１（両側散布）+縦×２×1/2（片側散布）=縦×２往復</t>
    <rPh sb="25" eb="26">
      <t>タテ</t>
    </rPh>
    <rPh sb="28" eb="30">
      <t>オウフク</t>
    </rPh>
    <phoneticPr fontId="16"/>
  </si>
  <si>
    <t>横(m)</t>
    <rPh sb="0" eb="1">
      <t>ヨコ</t>
    </rPh>
    <phoneticPr fontId="16"/>
  </si>
  <si>
    <t>=散布幅×２</t>
    <rPh sb="1" eb="3">
      <t>サンプ</t>
    </rPh>
    <rPh sb="3" eb="4">
      <t>ハバ</t>
    </rPh>
    <phoneticPr fontId="16"/>
  </si>
  <si>
    <t>■散布条件-１</t>
    <rPh sb="1" eb="3">
      <t>サンプ</t>
    </rPh>
    <phoneticPr fontId="16"/>
  </si>
  <si>
    <t>■散布条件-2</t>
    <rPh sb="1" eb="3">
      <t>サンプ</t>
    </rPh>
    <phoneticPr fontId="16"/>
  </si>
  <si>
    <t>散布幅（列間隔）</t>
    <rPh sb="4" eb="5">
      <t>レツ</t>
    </rPh>
    <rPh sb="5" eb="7">
      <t>カンカク</t>
    </rPh>
    <phoneticPr fontId="16"/>
  </si>
  <si>
    <t>※防除効果の向上と安全作業のために、できるだけ遅い車速段の選択を強くお勧め致します。</t>
    <phoneticPr fontId="16"/>
  </si>
  <si>
    <t>※噴霧ポンプ吐出量は、薬液タンクへ戻る余水分の約15%を引いて表示しています。</t>
    <rPh sb="1" eb="3">
      <t>フンム</t>
    </rPh>
    <rPh sb="6" eb="7">
      <t>ト</t>
    </rPh>
    <rPh sb="7" eb="9">
      <t>シュツリョウ</t>
    </rPh>
    <rPh sb="11" eb="13">
      <t>ヤクエキ</t>
    </rPh>
    <rPh sb="17" eb="18">
      <t>モド</t>
    </rPh>
    <rPh sb="19" eb="21">
      <t>ヨスイ</t>
    </rPh>
    <rPh sb="21" eb="22">
      <t>ブン</t>
    </rPh>
    <rPh sb="23" eb="24">
      <t>ヤク</t>
    </rPh>
    <rPh sb="28" eb="29">
      <t>ヒ</t>
    </rPh>
    <rPh sb="31" eb="33">
      <t>ヒョウジ</t>
    </rPh>
    <phoneticPr fontId="16"/>
  </si>
  <si>
    <t>※万一、この散布量計算を利用して生じたいかなる損失にも弊社は一切の責任を負いません。</t>
    <rPh sb="6" eb="8">
      <t>サンプ</t>
    </rPh>
    <rPh sb="8" eb="9">
      <t>リョウ</t>
    </rPh>
    <rPh sb="9" eb="11">
      <t>ケイサン</t>
    </rPh>
    <phoneticPr fontId="16"/>
  </si>
  <si>
    <t>真上</t>
  </si>
  <si>
    <t>散布幅（列間隔）</t>
    <rPh sb="0" eb="2">
      <t>サンプ</t>
    </rPh>
    <rPh sb="2" eb="3">
      <t>ハバ</t>
    </rPh>
    <rPh sb="4" eb="5">
      <t>レツ</t>
    </rPh>
    <rPh sb="5" eb="7">
      <t>カンカク</t>
    </rPh>
    <phoneticPr fontId="16"/>
  </si>
  <si>
    <t>上・斜め上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</si>
</sst>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Red]\(0.00\)"/>
    <numFmt numFmtId="177" formatCode="0.0_ "/>
    <numFmt numFmtId="178" formatCode="0_ "/>
    <numFmt numFmtId="179" formatCode="0.0_ ;[Red]\-0.0\ "/>
    <numFmt numFmtId="180" formatCode="0_ ;[Red]\-0\ "/>
    <numFmt numFmtId="181" formatCode="0.0_);[Red]\(0.0\)"/>
    <numFmt numFmtId="182" formatCode="#,##0.0_ ;[Red]\-#,##0.0\ "/>
  </numFmts>
  <fonts count="25">
    <font>
      <sz val="11"/>
      <name val="ＭＳ Ｐゴシック"/>
      <family val="3"/>
      <charset val="128"/>
    </font>
    <font>
      <sz val="14"/>
      <name val="ＭＳ Ｐゴシック"/>
      <family val="3"/>
      <charset val="128"/>
    </font>
    <font>
      <sz val="12"/>
      <color indexed="8"/>
      <name val="ＭＳ Ｐゴシック"/>
      <family val="3"/>
      <charset val="128"/>
    </font>
    <font>
      <sz val="10"/>
      <color indexed="8"/>
      <name val="ＭＳ Ｐゴシック"/>
      <family val="3"/>
      <charset val="128"/>
    </font>
    <font>
      <sz val="11"/>
      <color indexed="8"/>
      <name val="ＭＳ Ｐゴシック"/>
      <family val="3"/>
      <charset val="128"/>
    </font>
    <font>
      <b/>
      <sz val="11"/>
      <name val="ＭＳ Ｐゴシック"/>
      <family val="3"/>
      <charset val="128"/>
    </font>
    <font>
      <sz val="7"/>
      <name val="ＭＳ Ｐゴシック"/>
      <family val="3"/>
      <charset val="128"/>
    </font>
    <font>
      <sz val="9"/>
      <name val="ＭＳ Ｐゴシック"/>
      <family val="3"/>
      <charset val="128"/>
    </font>
    <font>
      <sz val="8"/>
      <name val="ＭＳ Ｐゴシック"/>
      <family val="3"/>
      <charset val="128"/>
    </font>
    <font>
      <b/>
      <sz val="11"/>
      <color indexed="10"/>
      <name val="ＭＳ Ｐゴシック"/>
      <family val="3"/>
      <charset val="128"/>
    </font>
    <font>
      <sz val="10"/>
      <name val="ＭＳ Ｐゴシック"/>
      <family val="3"/>
      <charset val="128"/>
    </font>
    <font>
      <b/>
      <sz val="12"/>
      <name val="ＭＳ Ｐゴシック"/>
      <family val="3"/>
      <charset val="128"/>
    </font>
    <font>
      <b/>
      <sz val="14"/>
      <color indexed="18"/>
      <name val="ＭＳ Ｐゴシック"/>
      <family val="3"/>
      <charset val="128"/>
    </font>
    <font>
      <b/>
      <sz val="14"/>
      <name val="ＭＳ Ｐゴシック"/>
      <family val="3"/>
      <charset val="128"/>
    </font>
    <font>
      <b/>
      <sz val="11"/>
      <color indexed="18"/>
      <name val="ＭＳ Ｐゴシック"/>
      <family val="3"/>
      <charset val="128"/>
    </font>
    <font>
      <sz val="9"/>
      <name val="ＭＳ Ｐゴシック"/>
      <family val="3"/>
      <charset val="134"/>
    </font>
    <font>
      <sz val="6"/>
      <name val="ＭＳ Ｐゴシック"/>
      <family val="3"/>
      <charset val="128"/>
    </font>
    <font>
      <sz val="7.5"/>
      <name val="ＭＳ Ｐゴシック"/>
      <family val="3"/>
      <charset val="128"/>
    </font>
    <font>
      <sz val="11"/>
      <color rgb="FF000000"/>
      <name val="ＭＳ Ｐゴシック"/>
      <family val="3"/>
      <charset val="128"/>
    </font>
    <font>
      <sz val="12"/>
      <name val="ＭＳ Ｐゴシック"/>
      <family val="3"/>
      <charset val="128"/>
    </font>
    <font>
      <b/>
      <sz val="12"/>
      <color indexed="10"/>
      <name val="ＭＳ Ｐゴシック"/>
      <family val="3"/>
      <charset val="128"/>
    </font>
    <font>
      <sz val="9"/>
      <color indexed="81"/>
      <name val="ＭＳ Ｐゴシック"/>
      <family val="3"/>
      <charset val="128"/>
    </font>
    <font>
      <sz val="9"/>
      <color indexed="81"/>
      <name val="MS P ゴシック"/>
      <family val="3"/>
      <charset val="128"/>
    </font>
    <font>
      <b/>
      <sz val="9"/>
      <color indexed="81"/>
      <name val="MS P ゴシック"/>
      <family val="3"/>
      <charset val="128"/>
    </font>
    <font>
      <b/>
      <sz val="11"/>
      <color indexed="8"/>
      <name val="ＭＳ Ｐゴシック"/>
      <family val="3"/>
      <charset val="128"/>
    </font>
  </fonts>
  <fills count="13">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indexed="26"/>
        <bgColor indexed="64"/>
      </patternFill>
    </fill>
    <fill>
      <patternFill patternType="mediumGray">
        <fgColor indexed="50"/>
        <bgColor indexed="13"/>
      </patternFill>
    </fill>
    <fill>
      <patternFill patternType="darkGray">
        <fgColor indexed="26"/>
        <bgColor indexed="43"/>
      </patternFill>
    </fill>
    <fill>
      <patternFill patternType="mediumGray">
        <fgColor indexed="50"/>
        <bgColor indexed="9"/>
      </patternFill>
    </fill>
    <fill>
      <patternFill patternType="solid">
        <fgColor rgb="FFCCFFFF"/>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FFCC"/>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bottom style="dashed">
        <color indexed="64"/>
      </bottom>
      <diagonal/>
    </border>
    <border>
      <left style="thin">
        <color indexed="64"/>
      </left>
      <right style="medium">
        <color indexed="64"/>
      </right>
      <top/>
      <bottom style="medium">
        <color indexed="64"/>
      </bottom>
      <diagonal/>
    </border>
    <border>
      <left/>
      <right style="thin">
        <color indexed="64"/>
      </right>
      <top/>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double">
        <color indexed="17"/>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style="dashed">
        <color indexed="64"/>
      </bottom>
      <diagonal/>
    </border>
    <border>
      <left/>
      <right/>
      <top style="double">
        <color indexed="64"/>
      </top>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style="thin">
        <color indexed="64"/>
      </right>
      <top/>
      <bottom style="dashed">
        <color indexed="64"/>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style="dashed">
        <color indexed="64"/>
      </bottom>
      <diagonal/>
    </border>
    <border>
      <left/>
      <right/>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bottom style="dashed">
        <color indexed="64"/>
      </bottom>
      <diagonal/>
    </border>
    <border>
      <left style="medium">
        <color indexed="64"/>
      </left>
      <right/>
      <top style="medium">
        <color indexed="64"/>
      </top>
      <bottom style="dashed">
        <color indexed="64"/>
      </bottom>
      <diagonal/>
    </border>
    <border>
      <left style="medium">
        <color indexed="64"/>
      </left>
      <right/>
      <top/>
      <bottom style="dashed">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dashed">
        <color indexed="64"/>
      </bottom>
      <diagonal/>
    </border>
    <border>
      <left/>
      <right style="medium">
        <color indexed="64"/>
      </right>
      <top/>
      <bottom style="dashed">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top/>
      <bottom style="double">
        <color indexed="64"/>
      </bottom>
      <diagonal/>
    </border>
    <border>
      <left/>
      <right/>
      <top style="double">
        <color theme="9" tint="-0.249977111117893"/>
      </top>
      <bottom/>
      <diagonal/>
    </border>
    <border>
      <left/>
      <right/>
      <top/>
      <bottom style="double">
        <color theme="9" tint="-0.249977111117893"/>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dashed">
        <color auto="1"/>
      </left>
      <right style="dashed">
        <color auto="1"/>
      </right>
      <top style="dashed">
        <color auto="1"/>
      </top>
      <bottom/>
      <diagonal/>
    </border>
    <border>
      <left style="dashed">
        <color auto="1"/>
      </left>
      <right style="dashed">
        <color auto="1"/>
      </right>
      <top/>
      <bottom/>
      <diagonal/>
    </border>
    <border>
      <left style="dashed">
        <color auto="1"/>
      </left>
      <right style="dashed">
        <color auto="1"/>
      </right>
      <top/>
      <bottom style="dashed">
        <color auto="1"/>
      </bottom>
      <diagonal/>
    </border>
    <border>
      <left style="medium">
        <color indexed="64"/>
      </left>
      <right style="thin">
        <color indexed="64"/>
      </right>
      <top/>
      <bottom/>
      <diagonal/>
    </border>
  </borders>
  <cellStyleXfs count="1">
    <xf numFmtId="0" fontId="0" fillId="0" borderId="0">
      <alignment vertical="center"/>
    </xf>
  </cellStyleXfs>
  <cellXfs count="260">
    <xf numFmtId="0" fontId="0" fillId="0" borderId="0" xfId="0">
      <alignment vertical="center"/>
    </xf>
    <xf numFmtId="0" fontId="0" fillId="0" borderId="0" xfId="0" applyAlignment="1">
      <alignment horizontal="center" vertical="center"/>
    </xf>
    <xf numFmtId="176" fontId="0" fillId="0" borderId="0" xfId="0" applyNumberFormat="1">
      <alignment vertical="center"/>
    </xf>
    <xf numFmtId="0" fontId="0" fillId="0" borderId="1" xfId="0" applyBorder="1">
      <alignment vertical="center"/>
    </xf>
    <xf numFmtId="49" fontId="2" fillId="4"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176" fontId="2" fillId="4" borderId="1" xfId="0" applyNumberFormat="1" applyFont="1" applyFill="1" applyBorder="1" applyAlignment="1">
      <alignment horizontal="center" vertical="center" wrapText="1"/>
    </xf>
    <xf numFmtId="176" fontId="2" fillId="0" borderId="1" xfId="0" applyNumberFormat="1" applyFont="1" applyBorder="1" applyAlignment="1">
      <alignment horizontal="center" vertical="center" wrapText="1"/>
    </xf>
    <xf numFmtId="0" fontId="11" fillId="5" borderId="3" xfId="0" applyFont="1" applyFill="1" applyBorder="1" applyAlignment="1" applyProtection="1">
      <alignment horizontal="center" vertical="center" shrinkToFit="1"/>
      <protection locked="0"/>
    </xf>
    <xf numFmtId="0" fontId="11" fillId="5" borderId="4" xfId="0" applyFont="1" applyFill="1" applyBorder="1" applyAlignment="1" applyProtection="1">
      <alignment horizontal="center" vertical="center" shrinkToFit="1"/>
      <protection locked="0"/>
    </xf>
    <xf numFmtId="0" fontId="11" fillId="5" borderId="8" xfId="0" applyFont="1" applyFill="1" applyBorder="1" applyAlignment="1" applyProtection="1">
      <alignment horizontal="center" vertical="center" shrinkToFit="1"/>
      <protection locked="0"/>
    </xf>
    <xf numFmtId="0" fontId="11" fillId="5" borderId="9" xfId="0" applyFont="1" applyFill="1" applyBorder="1" applyAlignment="1" applyProtection="1">
      <alignment horizontal="center" vertical="center" shrinkToFit="1"/>
      <protection locked="0"/>
    </xf>
    <xf numFmtId="0" fontId="11" fillId="5" borderId="10" xfId="0" applyFont="1" applyFill="1" applyBorder="1" applyAlignment="1" applyProtection="1">
      <alignment horizontal="center" vertical="center" shrinkToFit="1"/>
      <protection locked="0"/>
    </xf>
    <xf numFmtId="0" fontId="11" fillId="5" borderId="11" xfId="0" applyFont="1" applyFill="1" applyBorder="1" applyAlignment="1" applyProtection="1">
      <alignment horizontal="center" vertical="center" shrinkToFit="1"/>
      <protection locked="0"/>
    </xf>
    <xf numFmtId="176" fontId="0" fillId="0" borderId="0" xfId="0" applyNumberFormat="1" applyAlignment="1">
      <alignment horizontal="center" vertical="center"/>
    </xf>
    <xf numFmtId="177" fontId="5" fillId="5" borderId="1" xfId="0" applyNumberFormat="1" applyFont="1" applyFill="1" applyBorder="1" applyAlignment="1" applyProtection="1">
      <alignment horizontal="center" vertical="center" shrinkToFit="1"/>
      <protection locked="0"/>
    </xf>
    <xf numFmtId="0" fontId="0" fillId="0" borderId="0" xfId="0" applyAlignment="1" applyProtection="1">
      <alignment vertical="center" shrinkToFit="1"/>
      <protection hidden="1"/>
    </xf>
    <xf numFmtId="0" fontId="12" fillId="0" borderId="0" xfId="0" applyFont="1" applyAlignment="1" applyProtection="1">
      <alignment horizontal="center" vertical="top" wrapText="1" shrinkToFit="1"/>
      <protection hidden="1"/>
    </xf>
    <xf numFmtId="0" fontId="12" fillId="0" borderId="0" xfId="0" applyFont="1" applyAlignment="1" applyProtection="1">
      <alignment horizontal="center" vertical="top" shrinkToFit="1"/>
      <protection hidden="1"/>
    </xf>
    <xf numFmtId="0" fontId="0" fillId="0" borderId="0" xfId="0" applyAlignment="1" applyProtection="1">
      <alignment horizontal="left" vertical="center" shrinkToFit="1"/>
      <protection hidden="1"/>
    </xf>
    <xf numFmtId="0" fontId="0" fillId="0" borderId="0" xfId="0" applyAlignment="1" applyProtection="1">
      <alignment horizontal="right" vertical="center" shrinkToFit="1"/>
      <protection hidden="1"/>
    </xf>
    <xf numFmtId="0" fontId="0" fillId="0" borderId="0" xfId="0" applyAlignment="1" applyProtection="1">
      <alignment horizontal="center" vertical="center" shrinkToFit="1"/>
      <protection hidden="1"/>
    </xf>
    <xf numFmtId="0" fontId="1" fillId="0" borderId="0" xfId="0" applyFont="1" applyAlignment="1" applyProtection="1">
      <alignment horizontal="right" vertical="center" shrinkToFit="1"/>
      <protection hidden="1"/>
    </xf>
    <xf numFmtId="0" fontId="9" fillId="0" borderId="0" xfId="0" applyFont="1" applyAlignment="1" applyProtection="1">
      <alignment vertical="center" shrinkToFit="1"/>
      <protection hidden="1"/>
    </xf>
    <xf numFmtId="0" fontId="5" fillId="0" borderId="0" xfId="0" applyFont="1" applyAlignment="1" applyProtection="1">
      <alignment vertical="center" shrinkToFit="1"/>
      <protection hidden="1"/>
    </xf>
    <xf numFmtId="0" fontId="0" fillId="0" borderId="5" xfId="0" applyBorder="1" applyAlignment="1" applyProtection="1">
      <alignment horizontal="center" vertical="center" shrinkToFit="1"/>
      <protection hidden="1"/>
    </xf>
    <xf numFmtId="0" fontId="0" fillId="0" borderId="1" xfId="0" applyBorder="1" applyAlignment="1" applyProtection="1">
      <alignment horizontal="center" vertical="center" shrinkToFit="1"/>
      <protection hidden="1"/>
    </xf>
    <xf numFmtId="0" fontId="0" fillId="0" borderId="7" xfId="0" applyBorder="1" applyAlignment="1" applyProtection="1">
      <alignment horizontal="center" vertical="center" shrinkToFit="1"/>
      <protection hidden="1"/>
    </xf>
    <xf numFmtId="178" fontId="0" fillId="0" borderId="43" xfId="0" applyNumberFormat="1" applyBorder="1" applyProtection="1">
      <alignment vertical="center"/>
      <protection hidden="1"/>
    </xf>
    <xf numFmtId="0" fontId="6" fillId="0" borderId="0" xfId="0" applyFont="1" applyAlignment="1" applyProtection="1">
      <alignment horizontal="center" vertical="center" shrinkToFit="1"/>
      <protection hidden="1"/>
    </xf>
    <xf numFmtId="0" fontId="0" fillId="0" borderId="0" xfId="0" applyProtection="1">
      <alignment vertical="center"/>
      <protection hidden="1"/>
    </xf>
    <xf numFmtId="0" fontId="0" fillId="0" borderId="0" xfId="0" applyAlignment="1" applyProtection="1">
      <alignment horizontal="center" vertical="center"/>
      <protection hidden="1"/>
    </xf>
    <xf numFmtId="0" fontId="0" fillId="0" borderId="0" xfId="0" applyAlignment="1" applyProtection="1">
      <alignment horizontal="left" vertical="center"/>
      <protection hidden="1"/>
    </xf>
    <xf numFmtId="0" fontId="0" fillId="0" borderId="0" xfId="0" applyAlignment="1" applyProtection="1">
      <alignment horizontal="right" vertical="center"/>
      <protection hidden="1"/>
    </xf>
    <xf numFmtId="0" fontId="0" fillId="0" borderId="1" xfId="0" applyBorder="1" applyAlignment="1" applyProtection="1">
      <alignment horizontal="center" vertical="center"/>
      <protection hidden="1"/>
    </xf>
    <xf numFmtId="0" fontId="0" fillId="0" borderId="22" xfId="0" applyBorder="1" applyAlignment="1" applyProtection="1">
      <alignment horizontal="center" vertical="center"/>
      <protection hidden="1"/>
    </xf>
    <xf numFmtId="0" fontId="0" fillId="0" borderId="23" xfId="0" applyBorder="1" applyAlignment="1" applyProtection="1">
      <alignment horizontal="center" vertical="center"/>
      <protection hidden="1"/>
    </xf>
    <xf numFmtId="0" fontId="0" fillId="0" borderId="21" xfId="0" applyBorder="1" applyAlignment="1" applyProtection="1">
      <alignment horizontal="center" vertical="center"/>
      <protection hidden="1"/>
    </xf>
    <xf numFmtId="177" fontId="0" fillId="0" borderId="1" xfId="0" applyNumberFormat="1" applyBorder="1" applyProtection="1">
      <alignment vertical="center"/>
      <protection hidden="1"/>
    </xf>
    <xf numFmtId="177" fontId="0" fillId="0" borderId="3" xfId="0" applyNumberFormat="1" applyBorder="1" applyProtection="1">
      <alignment vertical="center"/>
      <protection hidden="1"/>
    </xf>
    <xf numFmtId="0" fontId="0" fillId="0" borderId="67" xfId="0" applyBorder="1" applyAlignment="1" applyProtection="1">
      <alignment horizontal="center" vertical="center"/>
      <protection hidden="1"/>
    </xf>
    <xf numFmtId="177" fontId="0" fillId="0" borderId="25" xfId="0" applyNumberFormat="1" applyBorder="1" applyProtection="1">
      <alignment vertical="center"/>
      <protection hidden="1"/>
    </xf>
    <xf numFmtId="177" fontId="0" fillId="0" borderId="2" xfId="0" applyNumberFormat="1" applyBorder="1" applyProtection="1">
      <alignment vertical="center"/>
      <protection hidden="1"/>
    </xf>
    <xf numFmtId="177" fontId="0" fillId="0" borderId="8" xfId="0" applyNumberFormat="1" applyBorder="1" applyProtection="1">
      <alignment vertical="center"/>
      <protection hidden="1"/>
    </xf>
    <xf numFmtId="177" fontId="0" fillId="0" borderId="68" xfId="0" applyNumberFormat="1" applyBorder="1" applyProtection="1">
      <alignment vertical="center"/>
      <protection hidden="1"/>
    </xf>
    <xf numFmtId="0" fontId="0" fillId="0" borderId="66" xfId="0" applyBorder="1" applyAlignment="1" applyProtection="1">
      <alignment horizontal="center" vertical="center"/>
      <protection hidden="1"/>
    </xf>
    <xf numFmtId="177" fontId="0" fillId="0" borderId="12" xfId="0" applyNumberFormat="1" applyBorder="1" applyProtection="1">
      <alignment vertical="center"/>
      <protection hidden="1"/>
    </xf>
    <xf numFmtId="177" fontId="0" fillId="0" borderId="58" xfId="0" applyNumberFormat="1" applyBorder="1" applyProtection="1">
      <alignment vertical="center"/>
      <protection hidden="1"/>
    </xf>
    <xf numFmtId="0" fontId="0" fillId="0" borderId="60" xfId="0" applyBorder="1" applyAlignment="1" applyProtection="1">
      <alignment horizontal="center" vertical="center"/>
      <protection hidden="1"/>
    </xf>
    <xf numFmtId="177" fontId="0" fillId="0" borderId="65" xfId="0" applyNumberFormat="1" applyBorder="1" applyProtection="1">
      <alignment vertical="center"/>
      <protection hidden="1"/>
    </xf>
    <xf numFmtId="177" fontId="0" fillId="0" borderId="59" xfId="0" applyNumberFormat="1" applyBorder="1" applyProtection="1">
      <alignment vertical="center"/>
      <protection hidden="1"/>
    </xf>
    <xf numFmtId="177" fontId="0" fillId="0" borderId="60" xfId="0" applyNumberFormat="1" applyBorder="1" applyProtection="1">
      <alignment vertical="center"/>
      <protection hidden="1"/>
    </xf>
    <xf numFmtId="0" fontId="0" fillId="0" borderId="5"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177" fontId="0" fillId="0" borderId="3" xfId="0" applyNumberFormat="1" applyBorder="1" applyAlignment="1" applyProtection="1">
      <alignment horizontal="center" vertical="center"/>
      <protection hidden="1"/>
    </xf>
    <xf numFmtId="180" fontId="0" fillId="0" borderId="0" xfId="0" applyNumberFormat="1" applyAlignment="1" applyProtection="1">
      <alignment horizontal="center" vertical="center"/>
      <protection hidden="1"/>
    </xf>
    <xf numFmtId="0" fontId="0" fillId="0" borderId="4" xfId="0" applyBorder="1" applyAlignment="1" applyProtection="1">
      <alignment horizontal="center" vertical="center"/>
      <protection hidden="1"/>
    </xf>
    <xf numFmtId="177" fontId="0" fillId="0" borderId="4" xfId="0" applyNumberFormat="1" applyBorder="1" applyAlignment="1" applyProtection="1">
      <alignment horizontal="center" vertical="center"/>
      <protection hidden="1"/>
    </xf>
    <xf numFmtId="0" fontId="0" fillId="0" borderId="2" xfId="0" applyBorder="1" applyAlignment="1" applyProtection="1">
      <alignment horizontal="center" vertical="center"/>
      <protection hidden="1"/>
    </xf>
    <xf numFmtId="177" fontId="0" fillId="0" borderId="2" xfId="0" applyNumberFormat="1" applyBorder="1" applyAlignment="1" applyProtection="1">
      <alignment horizontal="center" vertical="center"/>
      <protection hidden="1"/>
    </xf>
    <xf numFmtId="49" fontId="0" fillId="0" borderId="24" xfId="0" applyNumberFormat="1" applyBorder="1" applyAlignment="1" applyProtection="1">
      <alignment horizontal="center" vertical="center" shrinkToFit="1"/>
      <protection hidden="1"/>
    </xf>
    <xf numFmtId="0" fontId="0" fillId="0" borderId="13" xfId="0" applyBorder="1" applyAlignment="1" applyProtection="1">
      <alignment horizontal="center" vertical="center"/>
      <protection hidden="1"/>
    </xf>
    <xf numFmtId="178" fontId="0" fillId="0" borderId="1" xfId="0" applyNumberFormat="1" applyBorder="1" applyAlignment="1" applyProtection="1">
      <alignment horizontal="center" vertical="center"/>
      <protection hidden="1"/>
    </xf>
    <xf numFmtId="177" fontId="0" fillId="0" borderId="12" xfId="0" applyNumberFormat="1" applyBorder="1" applyAlignment="1" applyProtection="1">
      <alignment horizontal="center" vertical="center"/>
      <protection hidden="1"/>
    </xf>
    <xf numFmtId="177" fontId="0" fillId="0" borderId="1" xfId="0" applyNumberFormat="1" applyBorder="1" applyAlignment="1" applyProtection="1">
      <alignment horizontal="center" vertical="center"/>
      <protection hidden="1"/>
    </xf>
    <xf numFmtId="0" fontId="8" fillId="0" borderId="0" xfId="0" applyFont="1" applyAlignment="1" applyProtection="1">
      <alignment horizontal="left" vertical="center"/>
      <protection hidden="1"/>
    </xf>
    <xf numFmtId="0" fontId="8" fillId="0" borderId="0" xfId="0" applyFont="1" applyAlignment="1" applyProtection="1">
      <alignment horizontal="center" vertical="center"/>
      <protection hidden="1"/>
    </xf>
    <xf numFmtId="0" fontId="0" fillId="0" borderId="64" xfId="0" applyBorder="1" applyAlignment="1" applyProtection="1">
      <alignment horizontal="center" vertical="center" shrinkToFit="1"/>
      <protection hidden="1"/>
    </xf>
    <xf numFmtId="0" fontId="0" fillId="0" borderId="45" xfId="0" applyBorder="1" applyAlignment="1" applyProtection="1">
      <alignment horizontal="center" vertical="center" shrinkToFit="1"/>
      <protection hidden="1"/>
    </xf>
    <xf numFmtId="0" fontId="0" fillId="0" borderId="54" xfId="0" applyBorder="1" applyAlignment="1" applyProtection="1">
      <alignment horizontal="center" vertical="center" shrinkToFit="1"/>
      <protection hidden="1"/>
    </xf>
    <xf numFmtId="178" fontId="0" fillId="0" borderId="3" xfId="0" applyNumberFormat="1" applyBorder="1" applyAlignment="1" applyProtection="1">
      <alignment horizontal="center" vertical="center"/>
      <protection hidden="1"/>
    </xf>
    <xf numFmtId="0" fontId="0" fillId="0" borderId="26" xfId="0" applyBorder="1" applyAlignment="1" applyProtection="1">
      <alignment horizontal="center" vertical="center"/>
      <protection hidden="1"/>
    </xf>
    <xf numFmtId="179" fontId="0" fillId="0" borderId="62" xfId="0" applyNumberFormat="1" applyBorder="1" applyAlignment="1" applyProtection="1">
      <alignment horizontal="center" vertical="center" shrinkToFit="1"/>
      <protection hidden="1"/>
    </xf>
    <xf numFmtId="179" fontId="0" fillId="0" borderId="45" xfId="0" applyNumberFormat="1" applyBorder="1" applyAlignment="1" applyProtection="1">
      <alignment horizontal="center" vertical="center" shrinkToFit="1"/>
      <protection hidden="1"/>
    </xf>
    <xf numFmtId="179" fontId="0" fillId="0" borderId="54" xfId="0" applyNumberFormat="1" applyBorder="1" applyAlignment="1" applyProtection="1">
      <alignment horizontal="center" vertical="center" shrinkToFit="1"/>
      <protection hidden="1"/>
    </xf>
    <xf numFmtId="179" fontId="0" fillId="0" borderId="63" xfId="0" applyNumberFormat="1" applyBorder="1" applyAlignment="1" applyProtection="1">
      <alignment horizontal="center" vertical="center" shrinkToFit="1"/>
      <protection hidden="1"/>
    </xf>
    <xf numFmtId="179" fontId="0" fillId="0" borderId="3" xfId="0" applyNumberFormat="1" applyBorder="1" applyAlignment="1" applyProtection="1">
      <alignment horizontal="center" vertical="center" shrinkToFit="1"/>
      <protection hidden="1"/>
    </xf>
    <xf numFmtId="179" fontId="0" fillId="0" borderId="58" xfId="0" applyNumberFormat="1" applyBorder="1" applyAlignment="1" applyProtection="1">
      <alignment horizontal="center" vertical="center" shrinkToFit="1"/>
      <protection hidden="1"/>
    </xf>
    <xf numFmtId="0" fontId="0" fillId="0" borderId="61" xfId="0" applyBorder="1" applyAlignment="1" applyProtection="1">
      <alignment horizontal="center" vertical="center"/>
      <protection hidden="1"/>
    </xf>
    <xf numFmtId="179" fontId="0" fillId="0" borderId="34" xfId="0" applyNumberFormat="1" applyBorder="1" applyAlignment="1" applyProtection="1">
      <alignment horizontal="center" vertical="center" shrinkToFit="1"/>
      <protection hidden="1"/>
    </xf>
    <xf numFmtId="179" fontId="0" fillId="0" borderId="59" xfId="0" applyNumberFormat="1" applyBorder="1" applyAlignment="1" applyProtection="1">
      <alignment horizontal="center" vertical="center" shrinkToFit="1"/>
      <protection hidden="1"/>
    </xf>
    <xf numFmtId="179" fontId="0" fillId="0" borderId="60" xfId="0" applyNumberFormat="1" applyBorder="1" applyAlignment="1" applyProtection="1">
      <alignment horizontal="center" vertical="center" shrinkToFit="1"/>
      <protection hidden="1"/>
    </xf>
    <xf numFmtId="178" fontId="0" fillId="0" borderId="3" xfId="0" applyNumberFormat="1" applyBorder="1" applyProtection="1">
      <alignment vertical="center"/>
      <protection hidden="1"/>
    </xf>
    <xf numFmtId="178" fontId="0" fillId="0" borderId="44" xfId="0" applyNumberFormat="1" applyBorder="1" applyProtection="1">
      <alignment vertical="center"/>
      <protection hidden="1"/>
    </xf>
    <xf numFmtId="177" fontId="0" fillId="0" borderId="13" xfId="0" applyNumberFormat="1" applyBorder="1" applyAlignment="1" applyProtection="1">
      <alignment horizontal="center" vertical="center"/>
      <protection hidden="1"/>
    </xf>
    <xf numFmtId="0" fontId="0" fillId="0" borderId="0" xfId="0" applyAlignment="1">
      <alignment horizontal="center" vertical="center" shrinkToFit="1"/>
    </xf>
    <xf numFmtId="178" fontId="0" fillId="0" borderId="1" xfId="0" applyNumberFormat="1" applyBorder="1" applyProtection="1">
      <alignment vertical="center"/>
      <protection hidden="1"/>
    </xf>
    <xf numFmtId="0" fontId="7" fillId="0" borderId="1" xfId="0" applyFont="1" applyBorder="1" applyAlignment="1" applyProtection="1">
      <alignment horizontal="center" vertical="center" wrapText="1"/>
      <protection hidden="1"/>
    </xf>
    <xf numFmtId="0" fontId="7" fillId="0" borderId="44" xfId="0" applyFont="1" applyBorder="1" applyAlignment="1" applyProtection="1">
      <alignment horizontal="center" vertical="center" wrapText="1"/>
      <protection hidden="1"/>
    </xf>
    <xf numFmtId="178" fontId="0" fillId="0" borderId="8" xfId="0" applyNumberFormat="1" applyBorder="1" applyProtection="1">
      <alignment vertical="center"/>
      <protection hidden="1"/>
    </xf>
    <xf numFmtId="0" fontId="0" fillId="0" borderId="59" xfId="0" applyBorder="1" applyAlignment="1" applyProtection="1">
      <alignment horizontal="center" vertical="center"/>
      <protection hidden="1"/>
    </xf>
    <xf numFmtId="178" fontId="0" fillId="0" borderId="59" xfId="0" applyNumberFormat="1" applyBorder="1" applyAlignment="1" applyProtection="1">
      <alignment horizontal="center" vertical="center"/>
      <protection hidden="1"/>
    </xf>
    <xf numFmtId="0" fontId="0" fillId="0" borderId="69" xfId="0" applyBorder="1" applyAlignment="1" applyProtection="1">
      <alignment horizontal="center" vertical="center"/>
      <protection hidden="1"/>
    </xf>
    <xf numFmtId="178" fontId="0" fillId="0" borderId="45" xfId="0" applyNumberFormat="1" applyBorder="1" applyAlignment="1" applyProtection="1">
      <alignment horizontal="center" vertical="center"/>
      <protection hidden="1"/>
    </xf>
    <xf numFmtId="180" fontId="10" fillId="0" borderId="0" xfId="0" applyNumberFormat="1" applyFont="1" applyAlignment="1" applyProtection="1">
      <alignment horizontal="center" vertical="center" shrinkToFit="1"/>
      <protection hidden="1"/>
    </xf>
    <xf numFmtId="0" fontId="10" fillId="0" borderId="0" xfId="0" applyFont="1" applyAlignment="1" applyProtection="1">
      <alignment vertical="center" shrinkToFit="1"/>
      <protection hidden="1"/>
    </xf>
    <xf numFmtId="0" fontId="0" fillId="0" borderId="71" xfId="0" applyBorder="1" applyAlignment="1" applyProtection="1">
      <alignment horizontal="center" vertical="center"/>
      <protection hidden="1"/>
    </xf>
    <xf numFmtId="0" fontId="19" fillId="0" borderId="15" xfId="0" applyFont="1" applyBorder="1" applyAlignment="1" applyProtection="1">
      <alignment horizontal="center" vertical="center" shrinkToFit="1"/>
      <protection hidden="1"/>
    </xf>
    <xf numFmtId="0" fontId="20" fillId="0" borderId="39" xfId="0" applyFont="1" applyBorder="1" applyAlignment="1" applyProtection="1">
      <alignment horizontal="center" vertical="center" shrinkToFit="1"/>
      <protection hidden="1"/>
    </xf>
    <xf numFmtId="0" fontId="20" fillId="0" borderId="47" xfId="0" applyFont="1" applyBorder="1" applyAlignment="1" applyProtection="1">
      <alignment horizontal="center" vertical="center" shrinkToFit="1"/>
      <protection hidden="1"/>
    </xf>
    <xf numFmtId="0" fontId="20" fillId="0" borderId="49" xfId="0" applyFont="1" applyBorder="1" applyAlignment="1" applyProtection="1">
      <alignment horizontal="center" vertical="center" shrinkToFit="1"/>
      <protection hidden="1"/>
    </xf>
    <xf numFmtId="0" fontId="20" fillId="0" borderId="40" xfId="0" applyFont="1" applyBorder="1" applyAlignment="1" applyProtection="1">
      <alignment horizontal="center" vertical="center" shrinkToFit="1"/>
      <protection hidden="1"/>
    </xf>
    <xf numFmtId="0" fontId="20" fillId="0" borderId="45" xfId="0" applyFont="1" applyBorder="1" applyAlignment="1" applyProtection="1">
      <alignment horizontal="center" vertical="center" shrinkToFit="1"/>
      <protection hidden="1"/>
    </xf>
    <xf numFmtId="0" fontId="20" fillId="0" borderId="54" xfId="0" applyFont="1" applyBorder="1" applyAlignment="1" applyProtection="1">
      <alignment horizontal="center" vertical="center" shrinkToFit="1"/>
      <protection hidden="1"/>
    </xf>
    <xf numFmtId="0" fontId="19" fillId="0" borderId="14" xfId="0" applyFont="1" applyBorder="1" applyAlignment="1" applyProtection="1">
      <alignment horizontal="center" vertical="center" shrinkToFit="1"/>
      <protection hidden="1"/>
    </xf>
    <xf numFmtId="0" fontId="20" fillId="0" borderId="41" xfId="0" applyFont="1" applyBorder="1" applyAlignment="1" applyProtection="1">
      <alignment horizontal="center" vertical="center" shrinkToFit="1"/>
      <protection hidden="1"/>
    </xf>
    <xf numFmtId="0" fontId="20" fillId="0" borderId="48" xfId="0" applyFont="1" applyBorder="1" applyAlignment="1" applyProtection="1">
      <alignment horizontal="center" vertical="center" shrinkToFit="1"/>
      <protection hidden="1"/>
    </xf>
    <xf numFmtId="0" fontId="20" fillId="0" borderId="50" xfId="0" applyFont="1" applyBorder="1" applyAlignment="1" applyProtection="1">
      <alignment horizontal="center" vertical="center" shrinkToFit="1"/>
      <protection hidden="1"/>
    </xf>
    <xf numFmtId="0" fontId="20" fillId="0" borderId="19" xfId="0" applyFont="1" applyBorder="1" applyAlignment="1" applyProtection="1">
      <alignment horizontal="center" vertical="center" shrinkToFit="1"/>
      <protection hidden="1"/>
    </xf>
    <xf numFmtId="0" fontId="20" fillId="0" borderId="4" xfId="0" applyFont="1" applyBorder="1" applyAlignment="1" applyProtection="1">
      <alignment horizontal="center" vertical="center" shrinkToFit="1"/>
      <protection hidden="1"/>
    </xf>
    <xf numFmtId="0" fontId="20" fillId="0" borderId="14" xfId="0" applyFont="1" applyBorder="1" applyAlignment="1" applyProtection="1">
      <alignment horizontal="center" vertical="center" shrinkToFit="1"/>
      <protection hidden="1"/>
    </xf>
    <xf numFmtId="0" fontId="19" fillId="0" borderId="16" xfId="0" applyFont="1" applyBorder="1" applyAlignment="1" applyProtection="1">
      <alignment horizontal="center" vertical="center" shrinkToFit="1"/>
      <protection hidden="1"/>
    </xf>
    <xf numFmtId="0" fontId="20" fillId="0" borderId="42" xfId="0" applyFont="1" applyBorder="1" applyAlignment="1" applyProtection="1">
      <alignment horizontal="center" vertical="center" shrinkToFit="1"/>
      <protection hidden="1"/>
    </xf>
    <xf numFmtId="0" fontId="20" fillId="0" borderId="35" xfId="0" applyFont="1" applyBorder="1" applyAlignment="1" applyProtection="1">
      <alignment horizontal="center" vertical="center" shrinkToFit="1"/>
      <protection hidden="1"/>
    </xf>
    <xf numFmtId="0" fontId="20" fillId="0" borderId="46" xfId="0" applyFont="1" applyBorder="1" applyAlignment="1" applyProtection="1">
      <alignment horizontal="center" vertical="center" shrinkToFit="1"/>
      <protection hidden="1"/>
    </xf>
    <xf numFmtId="0" fontId="20" fillId="0" borderId="20" xfId="0" applyFont="1" applyBorder="1" applyAlignment="1" applyProtection="1">
      <alignment horizontal="center" vertical="center" shrinkToFit="1"/>
      <protection hidden="1"/>
    </xf>
    <xf numFmtId="0" fontId="20" fillId="0" borderId="16" xfId="0" applyFont="1" applyBorder="1" applyAlignment="1" applyProtection="1">
      <alignment horizontal="center" vertical="center" shrinkToFit="1"/>
      <protection hidden="1"/>
    </xf>
    <xf numFmtId="0" fontId="19" fillId="0" borderId="31" xfId="0" applyFont="1" applyBorder="1" applyAlignment="1" applyProtection="1">
      <alignment horizontal="center" vertical="center" shrinkToFit="1"/>
      <protection hidden="1"/>
    </xf>
    <xf numFmtId="0" fontId="19" fillId="0" borderId="23" xfId="0" applyFont="1" applyBorder="1" applyAlignment="1" applyProtection="1">
      <alignment horizontal="center" vertical="center" shrinkToFit="1"/>
      <protection hidden="1"/>
    </xf>
    <xf numFmtId="0" fontId="19" fillId="0" borderId="22" xfId="0" applyFont="1" applyBorder="1" applyAlignment="1" applyProtection="1">
      <alignment horizontal="center" vertical="center" shrinkToFit="1"/>
      <protection hidden="1"/>
    </xf>
    <xf numFmtId="0" fontId="19" fillId="0" borderId="21" xfId="0" applyFont="1" applyBorder="1" applyAlignment="1" applyProtection="1">
      <alignment horizontal="center" vertical="center" shrinkToFit="1"/>
      <protection hidden="1"/>
    </xf>
    <xf numFmtId="0" fontId="20" fillId="0" borderId="51" xfId="0" applyFont="1" applyBorder="1" applyAlignment="1" applyProtection="1">
      <alignment horizontal="center" vertical="center" shrinkToFit="1"/>
      <protection hidden="1"/>
    </xf>
    <xf numFmtId="0" fontId="20" fillId="0" borderId="55" xfId="0" applyFont="1" applyBorder="1" applyAlignment="1" applyProtection="1">
      <alignment horizontal="center" vertical="center" shrinkToFit="1"/>
      <protection hidden="1"/>
    </xf>
    <xf numFmtId="0" fontId="20" fillId="0" borderId="52" xfId="0" applyFont="1" applyBorder="1" applyAlignment="1" applyProtection="1">
      <alignment horizontal="center" vertical="center" shrinkToFit="1"/>
      <protection hidden="1"/>
    </xf>
    <xf numFmtId="0" fontId="20" fillId="0" borderId="56" xfId="0" applyFont="1" applyBorder="1" applyAlignment="1" applyProtection="1">
      <alignment horizontal="center" vertical="center" shrinkToFit="1"/>
      <protection hidden="1"/>
    </xf>
    <xf numFmtId="0" fontId="20" fillId="0" borderId="53" xfId="0" applyFont="1" applyBorder="1" applyAlignment="1" applyProtection="1">
      <alignment horizontal="center" vertical="center" shrinkToFit="1"/>
      <protection hidden="1"/>
    </xf>
    <xf numFmtId="0" fontId="20" fillId="0" borderId="57" xfId="0" applyFont="1" applyBorder="1" applyAlignment="1" applyProtection="1">
      <alignment horizontal="center" vertical="center" shrinkToFit="1"/>
      <protection hidden="1"/>
    </xf>
    <xf numFmtId="0" fontId="20" fillId="0" borderId="0" xfId="0" applyFont="1" applyAlignment="1" applyProtection="1">
      <alignment horizontal="center" vertical="center" shrinkToFit="1"/>
      <protection hidden="1"/>
    </xf>
    <xf numFmtId="0" fontId="0" fillId="0" borderId="70" xfId="0" applyBorder="1" applyAlignment="1" applyProtection="1">
      <alignment horizontal="center" vertical="center" shrinkToFit="1"/>
      <protection hidden="1"/>
    </xf>
    <xf numFmtId="0" fontId="19" fillId="0" borderId="70" xfId="0" applyFont="1" applyBorder="1" applyAlignment="1" applyProtection="1">
      <alignment horizontal="center" vertical="center" shrinkToFit="1"/>
      <protection hidden="1"/>
    </xf>
    <xf numFmtId="177" fontId="0" fillId="0" borderId="1" xfId="0" applyNumberFormat="1" applyBorder="1" applyAlignment="1" applyProtection="1">
      <alignment horizontal="center" vertical="center" shrinkToFit="1"/>
      <protection hidden="1"/>
    </xf>
    <xf numFmtId="177" fontId="0" fillId="0" borderId="3" xfId="0" applyNumberFormat="1" applyBorder="1" applyAlignment="1" applyProtection="1">
      <alignment horizontal="center" vertical="center" shrinkToFit="1"/>
      <protection hidden="1"/>
    </xf>
    <xf numFmtId="177" fontId="0" fillId="0" borderId="4" xfId="0" applyNumberFormat="1" applyBorder="1" applyAlignment="1" applyProtection="1">
      <alignment horizontal="center" vertical="center" shrinkToFit="1"/>
      <protection hidden="1"/>
    </xf>
    <xf numFmtId="181" fontId="0" fillId="0" borderId="3" xfId="0" applyNumberFormat="1" applyBorder="1" applyAlignment="1" applyProtection="1">
      <alignment horizontal="center" vertical="center" shrinkToFit="1"/>
      <protection hidden="1"/>
    </xf>
    <xf numFmtId="181" fontId="0" fillId="0" borderId="4" xfId="0" applyNumberFormat="1" applyBorder="1" applyAlignment="1" applyProtection="1">
      <alignment horizontal="center" vertical="center" shrinkToFit="1"/>
      <protection hidden="1"/>
    </xf>
    <xf numFmtId="181" fontId="0" fillId="0" borderId="2" xfId="0" applyNumberFormat="1" applyBorder="1" applyAlignment="1" applyProtection="1">
      <alignment horizontal="center" vertical="center" shrinkToFit="1"/>
      <protection hidden="1"/>
    </xf>
    <xf numFmtId="177" fontId="0" fillId="0" borderId="2" xfId="0" applyNumberFormat="1" applyBorder="1" applyAlignment="1" applyProtection="1">
      <alignment horizontal="center" vertical="center" shrinkToFit="1"/>
      <protection hidden="1"/>
    </xf>
    <xf numFmtId="0" fontId="0" fillId="0" borderId="0" xfId="0" applyBorder="1" applyAlignment="1" applyProtection="1">
      <alignment vertical="center" shrinkToFit="1"/>
      <protection hidden="1"/>
    </xf>
    <xf numFmtId="0" fontId="0" fillId="0" borderId="72" xfId="0" applyBorder="1" applyAlignment="1" applyProtection="1">
      <alignment vertical="center" shrinkToFit="1"/>
      <protection hidden="1"/>
    </xf>
    <xf numFmtId="0" fontId="8" fillId="0" borderId="0" xfId="0" applyFont="1" applyAlignment="1" applyProtection="1">
      <alignment vertical="center" shrinkToFit="1"/>
      <protection hidden="1"/>
    </xf>
    <xf numFmtId="0" fontId="0" fillId="0" borderId="0" xfId="0" applyAlignment="1" applyProtection="1">
      <alignment horizontal="center" vertical="center" shrinkToFit="1"/>
      <protection hidden="1"/>
    </xf>
    <xf numFmtId="182" fontId="10" fillId="0" borderId="0" xfId="0" applyNumberFormat="1" applyFont="1" applyAlignment="1" applyProtection="1">
      <alignment horizontal="center" vertical="center" shrinkToFit="1"/>
      <protection hidden="1"/>
    </xf>
    <xf numFmtId="0" fontId="0" fillId="0" borderId="21" xfId="0" applyBorder="1" applyAlignment="1" applyProtection="1">
      <alignment horizontal="center" vertical="center" shrinkToFit="1"/>
      <protection hidden="1"/>
    </xf>
    <xf numFmtId="0" fontId="0" fillId="0" borderId="6" xfId="0" applyBorder="1" applyAlignment="1" applyProtection="1">
      <alignment horizontal="center" vertical="center"/>
      <protection hidden="1"/>
    </xf>
    <xf numFmtId="179" fontId="0" fillId="0" borderId="8" xfId="0" applyNumberFormat="1" applyBorder="1" applyAlignment="1" applyProtection="1">
      <alignment horizontal="center" vertical="center" shrinkToFit="1"/>
      <protection hidden="1"/>
    </xf>
    <xf numFmtId="179" fontId="0" fillId="0" borderId="68" xfId="0" applyNumberFormat="1" applyBorder="1" applyAlignment="1" applyProtection="1">
      <alignment horizontal="center" vertical="center" shrinkToFit="1"/>
      <protection hidden="1"/>
    </xf>
    <xf numFmtId="0" fontId="0" fillId="0" borderId="23" xfId="0" applyBorder="1" applyAlignment="1" applyProtection="1">
      <alignment horizontal="center" vertical="center" shrinkToFit="1"/>
      <protection hidden="1"/>
    </xf>
    <xf numFmtId="0" fontId="0" fillId="0" borderId="25" xfId="0" applyBorder="1" applyAlignment="1" applyProtection="1">
      <alignment horizontal="center" vertical="center"/>
      <protection hidden="1"/>
    </xf>
    <xf numFmtId="0" fontId="0" fillId="0" borderId="65" xfId="0" applyBorder="1" applyAlignment="1" applyProtection="1">
      <alignment horizontal="center" vertical="center"/>
      <protection hidden="1"/>
    </xf>
    <xf numFmtId="180" fontId="0" fillId="0" borderId="84" xfId="0" applyNumberFormat="1" applyBorder="1" applyAlignment="1" applyProtection="1">
      <alignment horizontal="center" vertical="center" shrinkToFit="1"/>
      <protection hidden="1"/>
    </xf>
    <xf numFmtId="0" fontId="1" fillId="0" borderId="0" xfId="0" applyFont="1" applyAlignment="1" applyProtection="1">
      <alignment horizontal="center" vertical="center"/>
      <protection hidden="1"/>
    </xf>
    <xf numFmtId="0" fontId="1" fillId="0" borderId="0" xfId="0" applyFont="1" applyAlignment="1" applyProtection="1">
      <alignment horizontal="right" vertical="center"/>
      <protection hidden="1"/>
    </xf>
    <xf numFmtId="179" fontId="0" fillId="0" borderId="0" xfId="0" applyNumberFormat="1" applyFont="1" applyAlignment="1" applyProtection="1">
      <alignment vertical="center" shrinkToFit="1"/>
      <protection hidden="1"/>
    </xf>
    <xf numFmtId="179" fontId="0" fillId="9" borderId="0" xfId="0" applyNumberFormat="1" applyFont="1" applyFill="1" applyAlignment="1" applyProtection="1">
      <alignment horizontal="center" vertical="center" shrinkToFit="1"/>
      <protection hidden="1"/>
    </xf>
    <xf numFmtId="0" fontId="7" fillId="0" borderId="0" xfId="0" applyFont="1" applyAlignment="1" applyProtection="1">
      <alignment horizontal="center" vertical="center" shrinkToFit="1"/>
      <protection hidden="1"/>
    </xf>
    <xf numFmtId="0" fontId="0" fillId="0" borderId="0" xfId="0" applyFont="1" applyBorder="1" applyAlignment="1" applyProtection="1">
      <alignment horizontal="center" vertical="center" shrinkToFit="1"/>
      <protection hidden="1"/>
    </xf>
    <xf numFmtId="179" fontId="0" fillId="0" borderId="0" xfId="0" applyNumberFormat="1" applyFont="1" applyAlignment="1" applyProtection="1">
      <alignment horizontal="center" vertical="center" shrinkToFit="1"/>
      <protection hidden="1"/>
    </xf>
    <xf numFmtId="180" fontId="0" fillId="0" borderId="0" xfId="0" applyNumberFormat="1" applyFont="1" applyAlignment="1" applyProtection="1">
      <alignment horizontal="center" vertical="center" shrinkToFit="1"/>
      <protection hidden="1"/>
    </xf>
    <xf numFmtId="0" fontId="0" fillId="0" borderId="0" xfId="0" applyFont="1" applyAlignment="1" applyProtection="1">
      <alignment horizontal="center" vertical="center" shrinkToFit="1"/>
      <protection hidden="1"/>
    </xf>
    <xf numFmtId="0" fontId="24" fillId="2" borderId="0" xfId="0" applyFont="1" applyFill="1" applyBorder="1" applyAlignment="1" applyProtection="1">
      <alignment horizontal="center" vertical="center" shrinkToFit="1"/>
      <protection hidden="1"/>
    </xf>
    <xf numFmtId="180" fontId="24" fillId="2" borderId="0" xfId="0" applyNumberFormat="1" applyFont="1" applyFill="1" applyBorder="1" applyAlignment="1" applyProtection="1">
      <alignment horizontal="center" vertical="center" shrinkToFit="1"/>
      <protection hidden="1"/>
    </xf>
    <xf numFmtId="180" fontId="24" fillId="10" borderId="0" xfId="0" applyNumberFormat="1" applyFont="1" applyFill="1" applyBorder="1" applyAlignment="1" applyProtection="1">
      <alignment horizontal="center" vertical="center" shrinkToFit="1"/>
      <protection hidden="1"/>
    </xf>
    <xf numFmtId="180" fontId="24" fillId="3" borderId="0" xfId="0" applyNumberFormat="1" applyFont="1" applyFill="1" applyBorder="1" applyAlignment="1" applyProtection="1">
      <alignment horizontal="center" vertical="center" shrinkToFit="1"/>
      <protection hidden="1"/>
    </xf>
    <xf numFmtId="180" fontId="4" fillId="0" borderId="0" xfId="0" applyNumberFormat="1" applyFont="1" applyBorder="1" applyAlignment="1" applyProtection="1">
      <alignment horizontal="left" vertical="center" shrinkToFit="1"/>
      <protection hidden="1"/>
    </xf>
    <xf numFmtId="179" fontId="4" fillId="0" borderId="0" xfId="0" applyNumberFormat="1" applyFont="1" applyBorder="1" applyAlignment="1" applyProtection="1">
      <alignment horizontal="right" vertical="center" shrinkToFit="1"/>
      <protection hidden="1"/>
    </xf>
    <xf numFmtId="180" fontId="0" fillId="0" borderId="0" xfId="0" applyNumberFormat="1" applyFont="1" applyAlignment="1" applyProtection="1">
      <alignment horizontal="right" vertical="center" shrinkToFit="1"/>
      <protection hidden="1"/>
    </xf>
    <xf numFmtId="0" fontId="4" fillId="0" borderId="0" xfId="0" applyFont="1" applyBorder="1" applyAlignment="1" applyProtection="1">
      <alignment vertical="center" shrinkToFit="1"/>
      <protection hidden="1"/>
    </xf>
    <xf numFmtId="0" fontId="0" fillId="0" borderId="0" xfId="0" applyFont="1" applyAlignment="1" applyProtection="1">
      <alignment vertical="center" shrinkToFit="1"/>
      <protection hidden="1"/>
    </xf>
    <xf numFmtId="180" fontId="0" fillId="0" borderId="0" xfId="0" applyNumberFormat="1" applyFont="1" applyAlignment="1" applyProtection="1">
      <alignment vertical="center" shrinkToFit="1"/>
      <protection hidden="1"/>
    </xf>
    <xf numFmtId="179" fontId="0" fillId="0" borderId="0" xfId="0" applyNumberFormat="1" applyFont="1" applyAlignment="1" applyProtection="1">
      <alignment horizontal="right" vertical="center" shrinkToFit="1"/>
      <protection hidden="1"/>
    </xf>
    <xf numFmtId="0" fontId="0" fillId="0" borderId="0" xfId="0" applyAlignment="1">
      <alignment vertical="center" shrinkToFit="1"/>
    </xf>
    <xf numFmtId="0" fontId="0" fillId="11" borderId="0" xfId="0" applyFill="1" applyAlignment="1" applyProtection="1">
      <alignment vertical="center" shrinkToFit="1"/>
      <protection locked="0"/>
    </xf>
    <xf numFmtId="0" fontId="0" fillId="0" borderId="0" xfId="0" applyAlignment="1">
      <alignment vertical="center"/>
    </xf>
    <xf numFmtId="0" fontId="10" fillId="12" borderId="0" xfId="0" applyFont="1" applyFill="1" applyAlignment="1" applyProtection="1">
      <alignment horizontal="right" vertical="center" shrinkToFit="1"/>
      <protection locked="0"/>
    </xf>
    <xf numFmtId="0" fontId="10" fillId="12" borderId="3" xfId="0" applyFont="1" applyFill="1" applyBorder="1" applyAlignment="1" applyProtection="1">
      <alignment horizontal="center" vertical="center" shrinkToFit="1"/>
      <protection locked="0" hidden="1"/>
    </xf>
    <xf numFmtId="0" fontId="10" fillId="12" borderId="4" xfId="0" applyFont="1" applyFill="1" applyBorder="1" applyAlignment="1" applyProtection="1">
      <alignment horizontal="center" vertical="center" shrinkToFit="1"/>
      <protection locked="0" hidden="1"/>
    </xf>
    <xf numFmtId="0" fontId="10" fillId="12" borderId="2" xfId="0" applyFont="1" applyFill="1" applyBorder="1" applyAlignment="1" applyProtection="1">
      <alignment horizontal="center" vertical="center" shrinkToFit="1"/>
      <protection locked="0" hidden="1"/>
    </xf>
    <xf numFmtId="0" fontId="0" fillId="0" borderId="0" xfId="0" applyAlignment="1" applyProtection="1">
      <alignment horizontal="center" vertical="center" shrinkToFit="1"/>
      <protection hidden="1"/>
    </xf>
    <xf numFmtId="0" fontId="0" fillId="0" borderId="0" xfId="0" applyAlignment="1" applyProtection="1">
      <alignment horizontal="left" vertical="center" shrinkToFit="1"/>
      <protection hidden="1"/>
    </xf>
    <xf numFmtId="0" fontId="7" fillId="0" borderId="0" xfId="0" applyFont="1" applyAlignment="1" applyProtection="1">
      <alignment vertical="center" shrinkToFit="1"/>
      <protection hidden="1"/>
    </xf>
    <xf numFmtId="9" fontId="7" fillId="0" borderId="43" xfId="0" applyNumberFormat="1" applyFont="1" applyBorder="1" applyAlignment="1" applyProtection="1">
      <alignment horizontal="left" vertical="center" indent="1" shrinkToFit="1"/>
      <protection hidden="1"/>
    </xf>
    <xf numFmtId="0" fontId="0" fillId="0" borderId="0" xfId="0" applyAlignment="1" applyProtection="1">
      <alignment horizontal="center" vertical="center" shrinkToFit="1"/>
      <protection hidden="1"/>
    </xf>
    <xf numFmtId="0" fontId="0" fillId="0" borderId="0" xfId="0" quotePrefix="1">
      <alignment vertical="center"/>
    </xf>
    <xf numFmtId="0" fontId="0" fillId="0" borderId="0" xfId="0" applyAlignment="1">
      <alignment horizontal="right" vertical="center"/>
    </xf>
    <xf numFmtId="0" fontId="12" fillId="0" borderId="0" xfId="0" applyFont="1" applyAlignment="1" applyProtection="1">
      <alignment vertical="top" wrapText="1" shrinkToFit="1"/>
      <protection hidden="1"/>
    </xf>
    <xf numFmtId="0" fontId="12" fillId="0" borderId="0" xfId="0" applyFont="1" applyAlignment="1" applyProtection="1">
      <alignment horizontal="center" vertical="top" wrapText="1" shrinkToFit="1"/>
      <protection hidden="1"/>
    </xf>
    <xf numFmtId="22" fontId="0" fillId="0" borderId="0" xfId="0" applyNumberFormat="1" applyAlignment="1" applyProtection="1">
      <alignment horizontal="center" vertical="center" shrinkToFit="1"/>
      <protection hidden="1"/>
    </xf>
    <xf numFmtId="0" fontId="0" fillId="0" borderId="0" xfId="0" applyAlignment="1" applyProtection="1">
      <alignment horizontal="center" vertical="center" shrinkToFit="1"/>
      <protection hidden="1"/>
    </xf>
    <xf numFmtId="0" fontId="0" fillId="0" borderId="27" xfId="0" applyBorder="1" applyAlignment="1" applyProtection="1">
      <alignment horizontal="center" vertical="center" shrinkToFit="1"/>
      <protection hidden="1"/>
    </xf>
    <xf numFmtId="0" fontId="7" fillId="0" borderId="82" xfId="0" applyFont="1" applyBorder="1" applyAlignment="1" applyProtection="1">
      <alignment horizontal="center" vertical="center" wrapText="1" shrinkToFit="1"/>
      <protection hidden="1"/>
    </xf>
    <xf numFmtId="0" fontId="7" fillId="0" borderId="83" xfId="0" applyFont="1" applyBorder="1" applyAlignment="1" applyProtection="1">
      <alignment horizontal="center" vertical="center" shrinkToFit="1"/>
      <protection hidden="1"/>
    </xf>
    <xf numFmtId="0" fontId="17" fillId="0" borderId="74" xfId="0" applyFont="1" applyBorder="1" applyAlignment="1" applyProtection="1">
      <alignment horizontal="left" vertical="center" wrapText="1" shrinkToFit="1"/>
      <protection hidden="1"/>
    </xf>
    <xf numFmtId="0" fontId="17" fillId="0" borderId="75" xfId="0" applyFont="1" applyBorder="1" applyAlignment="1" applyProtection="1">
      <alignment horizontal="left" vertical="center" wrapText="1" shrinkToFit="1"/>
      <protection hidden="1"/>
    </xf>
    <xf numFmtId="0" fontId="17" fillId="0" borderId="76" xfId="0" applyFont="1" applyBorder="1" applyAlignment="1" applyProtection="1">
      <alignment horizontal="left" vertical="center" wrapText="1" shrinkToFit="1"/>
      <protection hidden="1"/>
    </xf>
    <xf numFmtId="0" fontId="17" fillId="0" borderId="77" xfId="0" applyFont="1" applyBorder="1" applyAlignment="1" applyProtection="1">
      <alignment horizontal="left" vertical="center" wrapText="1" shrinkToFit="1"/>
      <protection hidden="1"/>
    </xf>
    <xf numFmtId="0" fontId="17" fillId="0" borderId="0" xfId="0" applyFont="1" applyBorder="1" applyAlignment="1" applyProtection="1">
      <alignment horizontal="left" vertical="center" wrapText="1" shrinkToFit="1"/>
      <protection hidden="1"/>
    </xf>
    <xf numFmtId="0" fontId="17" fillId="0" borderId="78" xfId="0" applyFont="1" applyBorder="1" applyAlignment="1" applyProtection="1">
      <alignment horizontal="left" vertical="center" wrapText="1" shrinkToFit="1"/>
      <protection hidden="1"/>
    </xf>
    <xf numFmtId="0" fontId="17" fillId="0" borderId="79" xfId="0" applyFont="1" applyBorder="1" applyAlignment="1" applyProtection="1">
      <alignment horizontal="left" vertical="center" wrapText="1" shrinkToFit="1"/>
      <protection hidden="1"/>
    </xf>
    <xf numFmtId="0" fontId="17" fillId="0" borderId="80" xfId="0" applyFont="1" applyBorder="1" applyAlignment="1" applyProtection="1">
      <alignment horizontal="left" vertical="center" wrapText="1" shrinkToFit="1"/>
      <protection hidden="1"/>
    </xf>
    <xf numFmtId="0" fontId="17" fillId="0" borderId="81" xfId="0" applyFont="1" applyBorder="1" applyAlignment="1" applyProtection="1">
      <alignment horizontal="left" vertical="center" wrapText="1" shrinkToFit="1"/>
      <protection hidden="1"/>
    </xf>
    <xf numFmtId="0" fontId="8" fillId="0" borderId="0" xfId="0" applyFont="1" applyAlignment="1" applyProtection="1">
      <alignment horizontal="left" vertical="center" shrinkToFit="1"/>
      <protection hidden="1"/>
    </xf>
    <xf numFmtId="0" fontId="0" fillId="0" borderId="73" xfId="0" applyBorder="1" applyAlignment="1" applyProtection="1">
      <alignment horizontal="center" vertical="center" shrinkToFit="1"/>
      <protection hidden="1"/>
    </xf>
    <xf numFmtId="0" fontId="0" fillId="0" borderId="0" xfId="0" applyAlignment="1" applyProtection="1">
      <alignment horizontal="right" vertical="center" shrinkToFit="1"/>
      <protection hidden="1"/>
    </xf>
    <xf numFmtId="0" fontId="0" fillId="0" borderId="17" xfId="0" applyBorder="1" applyAlignment="1" applyProtection="1">
      <alignment horizontal="right" vertical="center" shrinkToFit="1"/>
      <protection hidden="1"/>
    </xf>
    <xf numFmtId="0" fontId="10" fillId="0" borderId="0" xfId="0" applyFont="1" applyAlignment="1" applyProtection="1">
      <alignment horizontal="right" shrinkToFit="1"/>
      <protection hidden="1"/>
    </xf>
    <xf numFmtId="0" fontId="7" fillId="0" borderId="0" xfId="0" applyFont="1" applyAlignment="1" applyProtection="1">
      <alignment horizontal="left" vertical="center" shrinkToFit="1"/>
      <protection hidden="1"/>
    </xf>
    <xf numFmtId="0" fontId="0" fillId="0" borderId="32" xfId="0" applyBorder="1" applyAlignment="1" applyProtection="1">
      <alignment horizontal="center" vertical="center" shrinkToFit="1"/>
      <protection hidden="1"/>
    </xf>
    <xf numFmtId="0" fontId="0" fillId="0" borderId="33" xfId="0" applyBorder="1" applyAlignment="1" applyProtection="1">
      <alignment horizontal="center" vertical="center" shrinkToFit="1"/>
      <protection hidden="1"/>
    </xf>
    <xf numFmtId="0" fontId="0" fillId="0" borderId="34" xfId="0" applyBorder="1" applyAlignment="1" applyProtection="1">
      <alignment horizontal="center" vertical="center" shrinkToFit="1"/>
      <protection hidden="1"/>
    </xf>
    <xf numFmtId="0" fontId="0" fillId="0" borderId="31" xfId="0" applyBorder="1" applyAlignment="1" applyProtection="1">
      <alignment horizontal="center" vertical="center" shrinkToFit="1"/>
      <protection hidden="1"/>
    </xf>
    <xf numFmtId="0" fontId="0" fillId="0" borderId="21" xfId="0" applyBorder="1" applyAlignment="1" applyProtection="1">
      <alignment horizontal="center" vertical="center" shrinkToFit="1"/>
      <protection hidden="1"/>
    </xf>
    <xf numFmtId="0" fontId="14" fillId="8" borderId="0" xfId="0" applyFont="1" applyFill="1" applyAlignment="1" applyProtection="1">
      <alignment horizontal="center" vertical="center" shrinkToFit="1"/>
      <protection hidden="1"/>
    </xf>
    <xf numFmtId="0" fontId="0" fillId="0" borderId="28" xfId="0" applyBorder="1" applyAlignment="1" applyProtection="1">
      <alignment horizontal="center" vertical="center" shrinkToFit="1"/>
      <protection hidden="1"/>
    </xf>
    <xf numFmtId="0" fontId="0" fillId="0" borderId="29" xfId="0" applyBorder="1" applyAlignment="1" applyProtection="1">
      <alignment horizontal="center" vertical="center" shrinkToFit="1"/>
      <protection hidden="1"/>
    </xf>
    <xf numFmtId="0" fontId="0" fillId="0" borderId="30" xfId="0" applyBorder="1" applyAlignment="1" applyProtection="1">
      <alignment horizontal="center" vertical="center" shrinkToFit="1"/>
      <protection hidden="1"/>
    </xf>
    <xf numFmtId="0" fontId="0" fillId="0" borderId="37" xfId="0" applyBorder="1" applyAlignment="1" applyProtection="1">
      <alignment horizontal="center" vertical="center" shrinkToFit="1"/>
      <protection hidden="1"/>
    </xf>
    <xf numFmtId="0" fontId="10" fillId="0" borderId="0" xfId="0" applyFont="1" applyAlignment="1" applyProtection="1">
      <alignment horizontal="left" vertical="center" shrinkToFit="1"/>
      <protection hidden="1"/>
    </xf>
    <xf numFmtId="0" fontId="7" fillId="0" borderId="0" xfId="0" applyFont="1" applyAlignment="1" applyProtection="1">
      <alignment horizontal="right" vertical="center" shrinkToFit="1"/>
      <protection hidden="1"/>
    </xf>
    <xf numFmtId="0" fontId="5" fillId="5" borderId="1" xfId="0" applyFont="1" applyFill="1" applyBorder="1" applyAlignment="1" applyProtection="1">
      <alignment horizontal="center" vertical="center" shrinkToFit="1"/>
      <protection locked="0" hidden="1"/>
    </xf>
    <xf numFmtId="0" fontId="1" fillId="7" borderId="7" xfId="0" applyFont="1" applyFill="1" applyBorder="1" applyAlignment="1" applyProtection="1">
      <alignment horizontal="center" vertical="center" shrinkToFit="1"/>
      <protection locked="0"/>
    </xf>
    <xf numFmtId="0" fontId="1" fillId="5" borderId="25" xfId="0" applyFont="1" applyFill="1" applyBorder="1" applyAlignment="1" applyProtection="1">
      <alignment horizontal="center" vertical="center" shrinkToFit="1"/>
      <protection locked="0"/>
    </xf>
    <xf numFmtId="0" fontId="1" fillId="5" borderId="2" xfId="0" applyFont="1" applyFill="1" applyBorder="1" applyAlignment="1" applyProtection="1">
      <alignment horizontal="center" vertical="center" shrinkToFit="1"/>
      <protection locked="0"/>
    </xf>
    <xf numFmtId="0" fontId="1" fillId="5" borderId="26" xfId="0" applyFont="1" applyFill="1" applyBorder="1" applyAlignment="1" applyProtection="1">
      <alignment horizontal="center" vertical="center" shrinkToFit="1"/>
      <protection locked="0"/>
    </xf>
    <xf numFmtId="0" fontId="0" fillId="0" borderId="0" xfId="0" applyAlignment="1" applyProtection="1">
      <alignment horizontal="left" vertical="center" shrinkToFit="1"/>
      <protection hidden="1"/>
    </xf>
    <xf numFmtId="0" fontId="12" fillId="6" borderId="0" xfId="0" applyFont="1" applyFill="1" applyAlignment="1" applyProtection="1">
      <alignment horizontal="center" vertical="center" shrinkToFit="1"/>
      <protection hidden="1"/>
    </xf>
    <xf numFmtId="0" fontId="13" fillId="5" borderId="7" xfId="0" applyFont="1" applyFill="1" applyBorder="1" applyAlignment="1" applyProtection="1">
      <alignment horizontal="left" vertical="center" shrinkToFit="1"/>
      <protection locked="0"/>
    </xf>
    <xf numFmtId="0" fontId="0" fillId="5" borderId="7" xfId="0" applyFill="1" applyBorder="1" applyAlignment="1" applyProtection="1">
      <alignment horizontal="left" vertical="center" shrinkToFit="1"/>
      <protection locked="0"/>
    </xf>
    <xf numFmtId="0" fontId="0" fillId="0" borderId="62" xfId="0" applyBorder="1" applyAlignment="1" applyProtection="1">
      <alignment horizontal="center" vertical="center" wrapText="1"/>
      <protection hidden="1"/>
    </xf>
    <xf numFmtId="0" fontId="0" fillId="0" borderId="85" xfId="0" applyBorder="1" applyAlignment="1" applyProtection="1">
      <alignment horizontal="center" vertical="center" wrapText="1"/>
      <protection hidden="1"/>
    </xf>
    <xf numFmtId="0" fontId="8" fillId="0" borderId="85" xfId="0" applyFont="1" applyBorder="1" applyAlignment="1" applyProtection="1">
      <alignment horizontal="center" vertical="center"/>
      <protection hidden="1"/>
    </xf>
    <xf numFmtId="0" fontId="8" fillId="0" borderId="42" xfId="0" applyFont="1" applyBorder="1" applyAlignment="1" applyProtection="1">
      <alignment horizontal="center" vertical="center"/>
      <protection hidden="1"/>
    </xf>
    <xf numFmtId="0" fontId="8" fillId="0" borderId="85" xfId="0" applyFont="1" applyBorder="1" applyAlignment="1" applyProtection="1">
      <alignment horizontal="center" vertical="center" wrapText="1"/>
      <protection hidden="1"/>
    </xf>
    <xf numFmtId="0" fontId="0" fillId="0" borderId="0" xfId="0" applyAlignment="1" applyProtection="1">
      <alignment horizontal="left" vertical="center"/>
      <protection hidden="1"/>
    </xf>
    <xf numFmtId="0" fontId="0" fillId="0" borderId="69" xfId="0"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59"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0" fillId="0" borderId="38"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18" xfId="0" applyBorder="1" applyAlignment="1" applyProtection="1">
      <alignment horizontal="center" vertical="center"/>
      <protection hidden="1"/>
    </xf>
    <xf numFmtId="0" fontId="0" fillId="0" borderId="37"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36" xfId="0" applyBorder="1" applyAlignment="1" applyProtection="1">
      <alignment horizontal="center" vertical="center"/>
      <protection hidden="1"/>
    </xf>
    <xf numFmtId="0" fontId="7" fillId="0" borderId="70" xfId="0" applyFont="1" applyBorder="1" applyAlignment="1" applyProtection="1">
      <alignment horizontal="right" vertical="center" wrapText="1"/>
      <protection hidden="1"/>
    </xf>
    <xf numFmtId="0" fontId="7" fillId="0" borderId="64" xfId="0" applyFont="1" applyBorder="1" applyAlignment="1" applyProtection="1">
      <alignment horizontal="right" vertical="center" wrapText="1"/>
      <protection hidden="1"/>
    </xf>
    <xf numFmtId="0" fontId="7" fillId="0" borderId="0" xfId="0" applyFont="1" applyAlignment="1" applyProtection="1">
      <alignment horizontal="right" vertical="center" wrapText="1"/>
      <protection hidden="1"/>
    </xf>
    <xf numFmtId="0" fontId="7" fillId="0" borderId="17" xfId="0" applyFont="1" applyBorder="1" applyAlignment="1" applyProtection="1">
      <alignment horizontal="right" vertical="center" wrapText="1"/>
      <protection hidden="1"/>
    </xf>
    <xf numFmtId="0" fontId="1" fillId="0" borderId="0" xfId="0" applyFont="1" applyAlignment="1" applyProtection="1">
      <alignment horizontal="left" vertical="center"/>
      <protection hidden="1"/>
    </xf>
    <xf numFmtId="0" fontId="0" fillId="0" borderId="31" xfId="0" applyBorder="1" applyAlignment="1" applyProtection="1">
      <alignment horizontal="center" vertical="center"/>
      <protection hidden="1"/>
    </xf>
    <xf numFmtId="0" fontId="0" fillId="0" borderId="21"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23" xfId="0" applyBorder="1" applyAlignment="1" applyProtection="1">
      <alignment horizontal="center" vertical="center"/>
      <protection hidden="1"/>
    </xf>
    <xf numFmtId="180" fontId="0" fillId="9" borderId="0" xfId="0" applyNumberFormat="1" applyFont="1" applyFill="1" applyAlignment="1" applyProtection="1">
      <alignment horizontal="center" vertical="center" shrinkToFit="1"/>
      <protection hidden="1"/>
    </xf>
    <xf numFmtId="179" fontId="5" fillId="3" borderId="0" xfId="0" applyNumberFormat="1" applyFont="1" applyFill="1" applyBorder="1" applyAlignment="1" applyProtection="1">
      <alignment horizontal="center" vertical="center" shrinkToFit="1"/>
      <protection hidden="1"/>
    </xf>
    <xf numFmtId="179" fontId="5" fillId="2" borderId="0" xfId="0" applyNumberFormat="1" applyFont="1" applyFill="1" applyBorder="1" applyAlignment="1" applyProtection="1">
      <alignment horizontal="center" vertical="center" shrinkToFit="1"/>
      <protection hidden="1"/>
    </xf>
    <xf numFmtId="0" fontId="0" fillId="11" borderId="0" xfId="0" applyFill="1" applyAlignment="1" applyProtection="1">
      <alignment horizontal="left" vertical="center" shrinkToFit="1"/>
      <protection locked="0"/>
    </xf>
  </cellXfs>
  <cellStyles count="1">
    <cellStyle name="標準" xfId="0" builtinId="0"/>
  </cellStyles>
  <dxfs count="22">
    <dxf>
      <fill>
        <patternFill>
          <bgColor rgb="FFFF0000"/>
        </patternFill>
      </fill>
    </dxf>
    <dxf>
      <font>
        <b val="0"/>
        <i/>
        <color rgb="FFFF0000"/>
      </font>
      <fill>
        <patternFill>
          <bgColor theme="0" tint="-0.14996795556505021"/>
        </patternFill>
      </fill>
    </dxf>
    <dxf>
      <font>
        <b val="0"/>
        <i/>
        <color rgb="FFFF0000"/>
      </font>
      <fill>
        <patternFill>
          <bgColor theme="0" tint="-0.14996795556505021"/>
        </patternFill>
      </fill>
    </dxf>
    <dxf>
      <fill>
        <patternFill>
          <bgColor rgb="FFFF0000"/>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patternType="solid">
          <bgColor theme="0" tint="-0.14990691854609822"/>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bgColor theme="0" tint="-0.14996795556505021"/>
        </patternFill>
      </fill>
    </dxf>
    <dxf>
      <font>
        <b val="0"/>
        <i/>
      </font>
      <fill>
        <patternFill patternType="solid">
          <fgColor auto="1"/>
          <bgColor theme="0" tint="-0.14996795556505021"/>
        </patternFill>
      </fill>
    </dxf>
    <dxf>
      <font>
        <b val="0"/>
        <i/>
      </font>
      <fill>
        <patternFill patternType="solid">
          <bgColor theme="0" tint="-0.14996795556505021"/>
        </patternFill>
      </fill>
    </dxf>
    <dxf>
      <font>
        <b val="0"/>
        <i/>
      </font>
      <fill>
        <patternFill patternType="solid">
          <bgColor theme="0" tint="-0.14996795556505021"/>
        </patternFill>
      </fill>
    </dxf>
  </dxfs>
  <tableStyles count="0" defaultTableStyle="TableStyleMedium2" defaultPivotStyle="PivotStyleLight16"/>
  <colors>
    <mruColors>
      <color rgb="FFFFFFCC"/>
      <color rgb="FFCCFF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409575</xdr:colOff>
      <xdr:row>0</xdr:row>
      <xdr:rowOff>114300</xdr:rowOff>
    </xdr:from>
    <xdr:to>
      <xdr:col>12</xdr:col>
      <xdr:colOff>19050</xdr:colOff>
      <xdr:row>1</xdr:row>
      <xdr:rowOff>323850</xdr:rowOff>
    </xdr:to>
    <xdr:pic>
      <xdr:nvPicPr>
        <xdr:cNvPr id="1073" name="Picture 7" descr="logoanime01">
          <a:extLst>
            <a:ext uri="{FF2B5EF4-FFF2-40B4-BE49-F238E27FC236}">
              <a16:creationId xmlns:a16="http://schemas.microsoft.com/office/drawing/2014/main" id="{00000000-0008-0000-0000-000031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62625" y="114300"/>
          <a:ext cx="16668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175260</xdr:colOff>
          <xdr:row>8</xdr:row>
          <xdr:rowOff>160020</xdr:rowOff>
        </xdr:from>
        <xdr:to>
          <xdr:col>13</xdr:col>
          <xdr:colOff>670560</xdr:colOff>
          <xdr:row>11</xdr:row>
          <xdr:rowOff>30480</xdr:rowOff>
        </xdr:to>
        <xdr:sp macro="" textlink="">
          <xdr:nvSpPr>
            <xdr:cNvPr id="1092" name="Butto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データクリア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213360</xdr:colOff>
          <xdr:row>14</xdr:row>
          <xdr:rowOff>76200</xdr:rowOff>
        </xdr:from>
        <xdr:to>
          <xdr:col>13</xdr:col>
          <xdr:colOff>678180</xdr:colOff>
          <xdr:row>16</xdr:row>
          <xdr:rowOff>152400</xdr:rowOff>
        </xdr:to>
        <xdr:sp macro="" textlink="">
          <xdr:nvSpPr>
            <xdr:cNvPr id="1093" name="Button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カラー印刷(A4)</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198120</xdr:colOff>
          <xdr:row>18</xdr:row>
          <xdr:rowOff>22860</xdr:rowOff>
        </xdr:from>
        <xdr:to>
          <xdr:col>14</xdr:col>
          <xdr:colOff>0</xdr:colOff>
          <xdr:row>20</xdr:row>
          <xdr:rowOff>68580</xdr:rowOff>
        </xdr:to>
        <xdr:sp macro="" textlink="">
          <xdr:nvSpPr>
            <xdr:cNvPr id="1094" name="Button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カラー印刷(B5)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213360</xdr:colOff>
          <xdr:row>21</xdr:row>
          <xdr:rowOff>175260</xdr:rowOff>
        </xdr:from>
        <xdr:to>
          <xdr:col>14</xdr:col>
          <xdr:colOff>0</xdr:colOff>
          <xdr:row>23</xdr:row>
          <xdr:rowOff>137160</xdr:rowOff>
        </xdr:to>
        <xdr:sp macro="" textlink="">
          <xdr:nvSpPr>
            <xdr:cNvPr id="1095" name="Button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白黒印刷(A4)</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220980</xdr:colOff>
          <xdr:row>29</xdr:row>
          <xdr:rowOff>7620</xdr:rowOff>
        </xdr:from>
        <xdr:to>
          <xdr:col>14</xdr:col>
          <xdr:colOff>0</xdr:colOff>
          <xdr:row>33</xdr:row>
          <xdr:rowOff>45720</xdr:rowOff>
        </xdr:to>
        <xdr:sp macro="" textlink="">
          <xdr:nvSpPr>
            <xdr:cNvPr id="1096" name="Button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車速・散布時間</a:t>
              </a:r>
            </a:p>
            <a:p>
              <a:pPr algn="ctr" rtl="0">
                <a:defRPr sz="1000"/>
              </a:pPr>
              <a:r>
                <a:rPr lang="ja-JP" altLang="en-US" sz="1100" b="0" i="0" u="none" strike="noStrike" baseline="0">
                  <a:solidFill>
                    <a:srgbClr val="000000"/>
                  </a:solidFill>
                  <a:latin typeface="ＭＳ Ｐゴシック"/>
                  <a:ea typeface="ＭＳ Ｐゴシック"/>
                </a:rPr>
                <a:t>一覧表印刷</a:t>
              </a:r>
            </a:p>
          </xdr:txBody>
        </xdr:sp>
        <xdr:clientData fPrintsWithSheet="0"/>
      </xdr:twoCellAnchor>
    </mc:Choice>
    <mc:Fallback/>
  </mc:AlternateContent>
  <xdr:twoCellAnchor editAs="oneCell">
    <xdr:from>
      <xdr:col>1</xdr:col>
      <xdr:colOff>53340</xdr:colOff>
      <xdr:row>0</xdr:row>
      <xdr:rowOff>101572</xdr:rowOff>
    </xdr:from>
    <xdr:to>
      <xdr:col>2</xdr:col>
      <xdr:colOff>572312</xdr:colOff>
      <xdr:row>3</xdr:row>
      <xdr:rowOff>190500</xdr:rowOff>
    </xdr:to>
    <xdr:pic>
      <xdr:nvPicPr>
        <xdr:cNvPr id="10" name="図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0560" y="101572"/>
          <a:ext cx="1014272" cy="9576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18</xdr:row>
          <xdr:rowOff>0</xdr:rowOff>
        </xdr:from>
        <xdr:to>
          <xdr:col>5</xdr:col>
          <xdr:colOff>579120</xdr:colOff>
          <xdr:row>20</xdr:row>
          <xdr:rowOff>76200</xdr:rowOff>
        </xdr:to>
        <xdr:sp macro="" textlink="">
          <xdr:nvSpPr>
            <xdr:cNvPr id="4098" name="Button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製品データ追加</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63"/>
  <sheetViews>
    <sheetView showGridLines="0" showZeros="0" tabSelected="1" zoomScaleNormal="100" workbookViewId="0">
      <selection activeCell="D7" sqref="D7:L7"/>
    </sheetView>
  </sheetViews>
  <sheetFormatPr defaultColWidth="9" defaultRowHeight="13.2"/>
  <cols>
    <col min="1" max="1" width="9" style="17"/>
    <col min="2" max="2" width="7.21875" style="17" customWidth="1"/>
    <col min="3" max="3" width="9" style="17" bestFit="1"/>
    <col min="4" max="16384" width="9" style="17"/>
  </cols>
  <sheetData>
    <row r="1" spans="2:12">
      <c r="B1" s="189"/>
      <c r="C1" s="189"/>
      <c r="D1" s="189"/>
      <c r="E1" s="189"/>
      <c r="F1" s="189"/>
      <c r="G1" s="189"/>
      <c r="H1" s="189"/>
      <c r="I1" s="189"/>
      <c r="J1" s="189"/>
    </row>
    <row r="2" spans="2:12" ht="28.5" customHeight="1">
      <c r="E2" s="186"/>
      <c r="F2" s="187" t="s">
        <v>0</v>
      </c>
      <c r="G2" s="187"/>
      <c r="H2" s="187"/>
      <c r="I2" s="186"/>
    </row>
    <row r="3" spans="2:12" ht="27" customHeight="1">
      <c r="E3" s="226" t="s">
        <v>153</v>
      </c>
      <c r="F3" s="226"/>
      <c r="G3" s="226"/>
      <c r="H3" s="226"/>
      <c r="I3" s="226"/>
    </row>
    <row r="4" spans="2:12" ht="22.65" customHeight="1">
      <c r="E4" s="18"/>
      <c r="F4" s="19"/>
      <c r="G4" s="19"/>
    </row>
    <row r="5" spans="2:12" ht="22.65" customHeight="1">
      <c r="B5" s="180" t="s">
        <v>1</v>
      </c>
      <c r="C5" s="21" t="s">
        <v>2</v>
      </c>
      <c r="D5" s="221"/>
      <c r="E5" s="221"/>
      <c r="F5" s="21" t="s">
        <v>3</v>
      </c>
      <c r="G5" s="222"/>
      <c r="H5" s="223"/>
      <c r="I5" s="224"/>
      <c r="J5" s="17" t="s">
        <v>4</v>
      </c>
    </row>
    <row r="6" spans="2:12" ht="7.5" customHeight="1">
      <c r="B6" s="20"/>
      <c r="C6" s="22"/>
    </row>
    <row r="7" spans="2:12" ht="22.65" customHeight="1">
      <c r="B7" s="20" t="s">
        <v>5</v>
      </c>
      <c r="C7" s="23" t="s">
        <v>6</v>
      </c>
      <c r="D7" s="227" t="s">
        <v>105</v>
      </c>
      <c r="E7" s="227"/>
      <c r="F7" s="227"/>
      <c r="G7" s="227"/>
      <c r="H7" s="227"/>
      <c r="I7" s="227"/>
      <c r="J7" s="227"/>
      <c r="K7" s="227"/>
      <c r="L7" s="227"/>
    </row>
    <row r="8" spans="2:12" ht="7.5" customHeight="1">
      <c r="B8" s="22"/>
      <c r="C8" s="22"/>
    </row>
    <row r="9" spans="2:12" ht="18" customHeight="1">
      <c r="B9" s="225" t="s">
        <v>124</v>
      </c>
      <c r="C9" s="225"/>
      <c r="D9" s="228"/>
      <c r="E9" s="228"/>
      <c r="F9" s="228"/>
      <c r="I9" s="188">
        <f ca="1">NOW()</f>
        <v>43886.701297337961</v>
      </c>
      <c r="J9" s="189"/>
      <c r="K9" s="20" t="s">
        <v>7</v>
      </c>
    </row>
    <row r="10" spans="2:12" ht="13.8" thickBot="1">
      <c r="B10" s="22"/>
      <c r="C10" s="22"/>
      <c r="D10" s="22"/>
      <c r="E10" s="22"/>
      <c r="F10" s="22"/>
      <c r="L10" s="139"/>
    </row>
    <row r="11" spans="2:12" ht="6.9" customHeight="1" thickTop="1">
      <c r="B11" s="190"/>
      <c r="C11" s="190"/>
      <c r="D11" s="190"/>
      <c r="E11" s="190"/>
      <c r="F11" s="190"/>
      <c r="G11" s="190"/>
      <c r="H11" s="190"/>
      <c r="I11" s="190"/>
      <c r="J11" s="190"/>
      <c r="K11" s="190"/>
      <c r="L11" s="140"/>
    </row>
    <row r="12" spans="2:12" ht="21" customHeight="1">
      <c r="B12" s="213" t="s">
        <v>208</v>
      </c>
      <c r="C12" s="213"/>
      <c r="D12" s="24"/>
      <c r="E12" s="24"/>
      <c r="F12" s="24"/>
      <c r="G12" s="25"/>
      <c r="H12" s="25"/>
      <c r="I12" s="22"/>
      <c r="J12" s="22"/>
    </row>
    <row r="13" spans="2:12" ht="6.9" customHeight="1">
      <c r="B13" s="22"/>
      <c r="C13" s="22"/>
      <c r="D13" s="22"/>
      <c r="E13" s="22"/>
      <c r="F13" s="22"/>
      <c r="G13" s="22"/>
      <c r="H13" s="22"/>
      <c r="I13" s="22"/>
      <c r="J13" s="22"/>
    </row>
    <row r="14" spans="2:12" ht="15.75" customHeight="1">
      <c r="B14" s="204" t="s">
        <v>154</v>
      </c>
      <c r="C14" s="205"/>
      <c r="D14" s="220" t="s">
        <v>151</v>
      </c>
      <c r="E14" s="220"/>
      <c r="G14" s="26" t="s">
        <v>8</v>
      </c>
      <c r="H14" s="26" t="s">
        <v>9</v>
      </c>
      <c r="I14" s="27" t="s">
        <v>138</v>
      </c>
      <c r="J14" s="27" t="s">
        <v>11</v>
      </c>
    </row>
    <row r="15" spans="2:12" ht="14.4">
      <c r="G15" s="176" t="s">
        <v>214</v>
      </c>
      <c r="H15" s="12" t="s">
        <v>71</v>
      </c>
      <c r="I15" s="9">
        <v>2</v>
      </c>
      <c r="J15" s="135">
        <f>作業シート!G17</f>
        <v>5.7</v>
      </c>
      <c r="K15" s="182">
        <f>IF($J$18&gt;0,J15/$J$18,0)</f>
        <v>0.11801242236024843</v>
      </c>
      <c r="L15" s="181"/>
    </row>
    <row r="16" spans="2:12" ht="14.4" customHeight="1">
      <c r="B16" s="204" t="s">
        <v>210</v>
      </c>
      <c r="C16" s="205"/>
      <c r="D16" s="220" t="s">
        <v>134</v>
      </c>
      <c r="E16" s="220"/>
      <c r="G16" s="177" t="s">
        <v>130</v>
      </c>
      <c r="H16" s="13" t="s">
        <v>71</v>
      </c>
      <c r="I16" s="10">
        <v>12</v>
      </c>
      <c r="J16" s="136">
        <f>作業シート!G18</f>
        <v>34.200000000000003</v>
      </c>
      <c r="K16" s="182">
        <f t="shared" ref="K16:K17" si="0">IF($J$18&gt;0,J16/$J$18,0)</f>
        <v>0.70807453416149069</v>
      </c>
      <c r="L16" s="191" t="s">
        <v>152</v>
      </c>
    </row>
    <row r="17" spans="1:12" ht="14.4">
      <c r="C17" s="179" t="s">
        <v>14</v>
      </c>
      <c r="D17" s="28">
        <f>IF(D16&lt;&gt;"",VLOOKUP(D16,走行距離,2,FALSE),"")</f>
        <v>222</v>
      </c>
      <c r="E17" s="17" t="s">
        <v>15</v>
      </c>
      <c r="G17" s="178" t="s">
        <v>196</v>
      </c>
      <c r="H17" s="14" t="s">
        <v>67</v>
      </c>
      <c r="I17" s="11">
        <v>4</v>
      </c>
      <c r="J17" s="137">
        <f>作業シート!G19</f>
        <v>8.4</v>
      </c>
      <c r="K17" s="182">
        <f t="shared" si="0"/>
        <v>0.17391304347826086</v>
      </c>
      <c r="L17" s="192"/>
    </row>
    <row r="18" spans="1:12" ht="16.5" customHeight="1">
      <c r="B18" s="204" t="s">
        <v>132</v>
      </c>
      <c r="C18" s="205"/>
      <c r="D18" s="16">
        <v>1.5</v>
      </c>
      <c r="E18" s="17" t="s">
        <v>17</v>
      </c>
      <c r="G18" s="22"/>
      <c r="H18" s="26" t="s">
        <v>18</v>
      </c>
      <c r="I18" s="27">
        <f>SUM(I15:I17)</f>
        <v>18</v>
      </c>
      <c r="J18" s="132">
        <f>J15+J16+J17</f>
        <v>48.300000000000004</v>
      </c>
      <c r="K18" s="29" t="s">
        <v>19</v>
      </c>
      <c r="L18" s="151">
        <f>IF(D7&lt;&gt;0,VLOOKUP(D7,車速表!A:AH,34,FALSE),0)</f>
        <v>18</v>
      </c>
    </row>
    <row r="19" spans="1:12" ht="13.8" thickBot="1">
      <c r="J19" s="30"/>
    </row>
    <row r="20" spans="1:12" ht="15.75" customHeight="1" thickBot="1">
      <c r="D20" s="214" t="s">
        <v>20</v>
      </c>
      <c r="E20" s="215"/>
      <c r="F20" s="215"/>
      <c r="G20" s="215"/>
      <c r="H20" s="215"/>
      <c r="I20" s="215"/>
      <c r="J20" s="215"/>
      <c r="K20" s="215"/>
      <c r="L20" s="216"/>
    </row>
    <row r="21" spans="1:12" s="22" customFormat="1" ht="20.25" customHeight="1" thickBot="1">
      <c r="A21" s="142"/>
      <c r="B21" s="211" t="s">
        <v>21</v>
      </c>
      <c r="C21" s="212"/>
      <c r="D21" s="119">
        <v>1600</v>
      </c>
      <c r="E21" s="120">
        <v>1800</v>
      </c>
      <c r="F21" s="121">
        <v>2000</v>
      </c>
      <c r="G21" s="121">
        <v>2200</v>
      </c>
      <c r="H21" s="121">
        <v>2400</v>
      </c>
      <c r="I21" s="120">
        <v>2500</v>
      </c>
      <c r="J21" s="120">
        <v>2600</v>
      </c>
      <c r="K21" s="120">
        <v>2700</v>
      </c>
      <c r="L21" s="122">
        <v>2800</v>
      </c>
    </row>
    <row r="22" spans="1:12" ht="17.25" customHeight="1">
      <c r="B22" s="208" t="s">
        <v>22</v>
      </c>
      <c r="C22" s="99" t="s">
        <v>23</v>
      </c>
      <c r="D22" s="100">
        <f>IF(ISERROR(作業シート!C23),"",INT(作業シート!C23/10+0.5)*10)</f>
        <v>790</v>
      </c>
      <c r="E22" s="101">
        <f>IF(ISERROR(作業シート!D23),"",INT(作業シート!D23/10+0.5)*10)</f>
        <v>700</v>
      </c>
      <c r="F22" s="102">
        <f>IF(ISERROR(作業シート!E23),"",INT(作業シート!E23/10+0.5)*10)</f>
        <v>630</v>
      </c>
      <c r="G22" s="102">
        <f>IF(ISERROR(作業シート!F23),"",INT(作業シート!F23/10+0.5)*10)</f>
        <v>570</v>
      </c>
      <c r="H22" s="103">
        <f>IF(ISERROR(作業シート!G23),"",INT(作業シート!G23/10+0.5)*10)</f>
        <v>500</v>
      </c>
      <c r="I22" s="104">
        <f>IF(ISERROR(作業シート!H23),"",INT(作業シート!H23/10+0.5)*10)</f>
        <v>480</v>
      </c>
      <c r="J22" s="104">
        <f>IF(ISERROR(作業シート!I23),"",INT(作業シート!I23/10+0.5)*10)</f>
        <v>470</v>
      </c>
      <c r="K22" s="104">
        <f>IF(ISERROR(作業シート!J23),"",INT(作業シート!J23/10+0.5)*10)</f>
        <v>450</v>
      </c>
      <c r="L22" s="105">
        <f>IF(ISERROR(作業シート!K23),"",INT(作業シート!K23/10+0.5)*10)</f>
        <v>430</v>
      </c>
    </row>
    <row r="23" spans="1:12" ht="17.25" customHeight="1">
      <c r="B23" s="209"/>
      <c r="C23" s="106" t="s">
        <v>24</v>
      </c>
      <c r="D23" s="107">
        <f>IF(ISERROR(作業シート!C24),"",INT(作業シート!C24/10+0.5)*10)</f>
        <v>700</v>
      </c>
      <c r="E23" s="108">
        <f>IF(ISERROR(作業シート!D24),"",INT(作業シート!D24/10+0.5)*10)</f>
        <v>620</v>
      </c>
      <c r="F23" s="109">
        <f>IF(ISERROR(作業シート!E24),"",INT(作業シート!E24/10+0.5)*10)</f>
        <v>560</v>
      </c>
      <c r="G23" s="109">
        <f>IF(ISERROR(作業シート!F24),"",INT(作業シート!F24/10+0.5)*10)</f>
        <v>510</v>
      </c>
      <c r="H23" s="110">
        <f>IF(ISERROR(作業シート!G24),"",INT(作業シート!G24/10+0.5)*10)</f>
        <v>450</v>
      </c>
      <c r="I23" s="111">
        <f>IF(ISERROR(作業シート!H24),"",INT(作業シート!H24/10+0.5)*10)</f>
        <v>430</v>
      </c>
      <c r="J23" s="111">
        <f>IF(ISERROR(作業シート!I24),"",INT(作業シート!I24/10+0.5)*10)</f>
        <v>410</v>
      </c>
      <c r="K23" s="111">
        <f>IF(ISERROR(作業シート!J24),"",INT(作業シート!J24/10+0.5)*10)</f>
        <v>390</v>
      </c>
      <c r="L23" s="112">
        <f>IF(ISERROR(作業シート!K24),"",INT(作業シート!K24/10+0.5)*10)</f>
        <v>380</v>
      </c>
    </row>
    <row r="24" spans="1:12" ht="17.25" customHeight="1">
      <c r="B24" s="209"/>
      <c r="C24" s="106" t="s">
        <v>25</v>
      </c>
      <c r="D24" s="107">
        <f>IF(ISERROR(作業シート!C25),"",INT(作業シート!C25/10+0.5)*10)</f>
        <v>560</v>
      </c>
      <c r="E24" s="108">
        <f>IF(ISERROR(作業シート!D25),"",INT(作業シート!D25/10+0.5)*10)</f>
        <v>500</v>
      </c>
      <c r="F24" s="109">
        <f>IF(ISERROR(作業シート!E25),"",INT(作業シート!E25/10+0.5)*10)</f>
        <v>450</v>
      </c>
      <c r="G24" s="109">
        <f>IF(ISERROR(作業シート!F25),"",INT(作業シート!F25/10+0.5)*10)</f>
        <v>410</v>
      </c>
      <c r="H24" s="110">
        <f>IF(ISERROR(作業シート!G25),"",INT(作業シート!G25/10+0.5)*10)</f>
        <v>360</v>
      </c>
      <c r="I24" s="111">
        <f>IF(ISERROR(作業シート!H25),"",INT(作業シート!H25/10+0.5)*10)</f>
        <v>350</v>
      </c>
      <c r="J24" s="111">
        <f>IF(ISERROR(作業シート!I25),"",INT(作業シート!I25/10+0.5)*10)</f>
        <v>330</v>
      </c>
      <c r="K24" s="111">
        <f>IF(ISERROR(作業シート!J25),"",INT(作業シート!J25/10+0.5)*10)</f>
        <v>320</v>
      </c>
      <c r="L24" s="112">
        <f>IF(ISERROR(作業シート!K25),"",INT(作業シート!K25/10+0.5)*10)</f>
        <v>310</v>
      </c>
    </row>
    <row r="25" spans="1:12" ht="17.25" customHeight="1">
      <c r="B25" s="209"/>
      <c r="C25" s="106" t="s">
        <v>26</v>
      </c>
      <c r="D25" s="107">
        <f>IF(ISERROR(作業シート!C26),"",INT(作業シート!C26/10+0.5)*10)</f>
        <v>470</v>
      </c>
      <c r="E25" s="108">
        <f>IF(ISERROR(作業シート!D26),"",INT(作業シート!D26/10+0.5)*10)</f>
        <v>420</v>
      </c>
      <c r="F25" s="109">
        <f>IF(ISERROR(作業シート!E26),"",INT(作業シート!E26/10+0.5)*10)</f>
        <v>380</v>
      </c>
      <c r="G25" s="109">
        <f>IF(ISERROR(作業シート!F26),"",INT(作業シート!F26/10+0.5)*10)</f>
        <v>340</v>
      </c>
      <c r="H25" s="110">
        <f>IF(ISERROR(作業シート!G26),"",INT(作業シート!G26/10+0.5)*10)</f>
        <v>300</v>
      </c>
      <c r="I25" s="111">
        <f>IF(ISERROR(作業シート!H26),"",INT(作業シート!H26/10+0.5)*10)</f>
        <v>290</v>
      </c>
      <c r="J25" s="111">
        <f>IF(ISERROR(作業シート!I26),"",INT(作業シート!I26/10+0.5)*10)</f>
        <v>280</v>
      </c>
      <c r="K25" s="111">
        <f>IF(ISERROR(作業シート!J26),"",INT(作業シート!J26/10+0.5)*10)</f>
        <v>270</v>
      </c>
      <c r="L25" s="112">
        <f>IF(ISERROR(作業シート!K26),"",INT(作業シート!K26/10+0.5)*10)</f>
        <v>260</v>
      </c>
    </row>
    <row r="26" spans="1:12" ht="17.25" customHeight="1">
      <c r="B26" s="209"/>
      <c r="C26" s="106" t="s">
        <v>27</v>
      </c>
      <c r="D26" s="107">
        <f>IF(ISERROR(作業シート!C27),"",INT(作業シート!C27/10+0.5)*10)</f>
        <v>380</v>
      </c>
      <c r="E26" s="108">
        <f>IF(ISERROR(作業シート!D27),"",INT(作業シート!D27/10+0.5)*10)</f>
        <v>340</v>
      </c>
      <c r="F26" s="109">
        <f>IF(ISERROR(作業シート!E27),"",INT(作業シート!E27/10+0.5)*10)</f>
        <v>310</v>
      </c>
      <c r="G26" s="109">
        <f>IF(ISERROR(作業シート!F27),"",INT(作業シート!F27/10+0.5)*10)</f>
        <v>280</v>
      </c>
      <c r="H26" s="110">
        <f>IF(ISERROR(作業シート!G27),"",INT(作業シート!G27/10+0.5)*10)</f>
        <v>240</v>
      </c>
      <c r="I26" s="111">
        <f>IF(ISERROR(作業シート!H27),"",INT(作業シート!H27/10+0.5)*10)</f>
        <v>230</v>
      </c>
      <c r="J26" s="111">
        <f>IF(ISERROR(作業シート!I27),"",INT(作業シート!I27/10+0.5)*10)</f>
        <v>230</v>
      </c>
      <c r="K26" s="111">
        <f>IF(ISERROR(作業シート!J27),"",INT(作業シート!J27/10+0.5)*10)</f>
        <v>220</v>
      </c>
      <c r="L26" s="112">
        <f>IF(ISERROR(作業シート!K27),"",INT(作業シート!K27/10+0.5)*10)</f>
        <v>210</v>
      </c>
    </row>
    <row r="27" spans="1:12" ht="17.25" customHeight="1" thickBot="1">
      <c r="B27" s="210"/>
      <c r="C27" s="113" t="s">
        <v>28</v>
      </c>
      <c r="D27" s="114">
        <f>IF(ISERROR(作業シート!C28),"",INT(作業シート!C28/10+0.5)*10)</f>
        <v>330</v>
      </c>
      <c r="E27" s="115">
        <f>IF(ISERROR(作業シート!D28),"",INT(作業シート!D28/10+0.5)*10)</f>
        <v>290</v>
      </c>
      <c r="F27" s="116">
        <f>IF(ISERROR(作業シート!E28),"",INT(作業シート!E28/10+0.5)*10)</f>
        <v>260</v>
      </c>
      <c r="G27" s="116">
        <f>IF(ISERROR(作業シート!F28),"",INT(作業シート!F28/10+0.5)*10)</f>
        <v>240</v>
      </c>
      <c r="H27" s="117">
        <f>IF(ISERROR(作業シート!G28),"",INT(作業シート!G28/10+0.5)*10)</f>
        <v>210</v>
      </c>
      <c r="I27" s="116">
        <f>IF(ISERROR(作業シート!H28),"",INT(作業シート!H28/10+0.5)*10)</f>
        <v>200</v>
      </c>
      <c r="J27" s="116">
        <f>IF(ISERROR(作業シート!I28),"",INT(作業シート!I28/10+0.5)*10)</f>
        <v>190</v>
      </c>
      <c r="K27" s="116">
        <f>IF(ISERROR(作業シート!J28),"",INT(作業シート!J28/10+0.5)*10)</f>
        <v>190</v>
      </c>
      <c r="L27" s="118">
        <f>IF(ISERROR(作業シート!K28),"",INT(作業シート!K28/10+0.5)*10)</f>
        <v>180</v>
      </c>
    </row>
    <row r="28" spans="1:12" ht="3" customHeight="1">
      <c r="B28" s="130"/>
      <c r="C28" s="131"/>
      <c r="D28" s="129"/>
      <c r="E28" s="129"/>
      <c r="F28" s="129"/>
      <c r="G28" s="129"/>
      <c r="H28" s="129"/>
      <c r="I28" s="129"/>
      <c r="J28" s="129"/>
      <c r="K28" s="129"/>
      <c r="L28" s="129"/>
    </row>
    <row r="29" spans="1:12" ht="12" customHeight="1">
      <c r="B29" s="219" t="s">
        <v>135</v>
      </c>
      <c r="C29" s="219"/>
      <c r="D29" s="96">
        <f>IF(ISERROR(作業シート!C29),"",作業シート!C29)</f>
        <v>46.14285714285716</v>
      </c>
      <c r="E29" s="96">
        <f>IF(ISERROR(作業シート!D29),"",作業シート!D29)</f>
        <v>51.910714285714299</v>
      </c>
      <c r="F29" s="96">
        <f>IF(ISERROR(作業シート!E29),"",作業シート!E29)</f>
        <v>57.678571428571438</v>
      </c>
      <c r="G29" s="96">
        <f>IF(ISERROR(作業シート!F29),"",作業シート!F29)</f>
        <v>63.446428571428577</v>
      </c>
      <c r="H29" s="96">
        <f>IF(ISERROR(作業シート!G29),"",作業シート!G29)</f>
        <v>69.214285714285722</v>
      </c>
      <c r="I29" s="96">
        <f>IF(ISERROR(作業シート!H29),"",作業シート!H29)</f>
        <v>72.098214285714292</v>
      </c>
      <c r="J29" s="96">
        <f>IF(ISERROR(作業シート!I29),"",作業シート!I29)</f>
        <v>74.982142857142861</v>
      </c>
      <c r="K29" s="96">
        <f>IF(ISERROR(作業シート!J29),"",作業シート!J29)</f>
        <v>77.866071428571431</v>
      </c>
      <c r="L29" s="96">
        <f>IF(ISERROR(作業シート!K29),"",作業シート!K29)</f>
        <v>80.75</v>
      </c>
    </row>
    <row r="30" spans="1:12" ht="12" customHeight="1">
      <c r="B30" s="206" t="s">
        <v>148</v>
      </c>
      <c r="C30" s="206"/>
      <c r="D30" s="96">
        <f>IF(ISERROR(作業シート!C30),"",作業シート!C30)</f>
        <v>415.42857142857144</v>
      </c>
      <c r="E30" s="96">
        <f>IF(ISERROR(作業シート!D30),"",作業シート!D30)</f>
        <v>467.35714285714289</v>
      </c>
      <c r="F30" s="96">
        <f>IF(ISERROR(作業シート!E30),"",作業シート!E30)</f>
        <v>519.28571428571433</v>
      </c>
      <c r="G30" s="96">
        <f>IF(ISERROR(作業シート!F30),"",作業シート!F30)</f>
        <v>571.21428571428578</v>
      </c>
      <c r="H30" s="96">
        <f>IF(ISERROR(作業シート!G30),"",作業シート!G30)</f>
        <v>623.14285714285722</v>
      </c>
      <c r="I30" s="96">
        <f>IF(ISERROR(作業シート!H30),"",作業シート!H30)</f>
        <v>649.10714285714289</v>
      </c>
      <c r="J30" s="96">
        <f>IF(ISERROR(作業シート!I30),"",作業シート!I30)</f>
        <v>675.07142857142867</v>
      </c>
      <c r="K30" s="96">
        <f>IF(ISERROR(作業シート!J30),"",作業シート!J30)</f>
        <v>701.03571428571433</v>
      </c>
      <c r="L30" s="96">
        <f>IF(ISERROR(作業シート!K30),"",作業シート!K30)</f>
        <v>727</v>
      </c>
    </row>
    <row r="31" spans="1:12" ht="12" customHeight="1">
      <c r="B31" s="97"/>
      <c r="C31" s="156" t="s">
        <v>197</v>
      </c>
      <c r="D31" s="96">
        <f>IF(ISERROR(作業シート!C31),"",作業シート!C31)</f>
        <v>295.42857142857144</v>
      </c>
      <c r="E31" s="96">
        <f>IF(ISERROR(作業シート!D31),"",作業シート!D31)</f>
        <v>332.35714285714289</v>
      </c>
      <c r="F31" s="96">
        <f>IF(ISERROR(作業シート!E31),"",作業シート!E31)</f>
        <v>369.28571428571433</v>
      </c>
      <c r="G31" s="96">
        <f>IF(ISERROR(作業シート!F31),"",作業シート!F31)</f>
        <v>406.21428571428572</v>
      </c>
      <c r="H31" s="96">
        <f>IF(ISERROR(作業シート!G31),"",作業シート!G31)</f>
        <v>443.14285714285711</v>
      </c>
      <c r="I31" s="96">
        <f>IF(ISERROR(作業シート!H31),"",作業シート!H31)</f>
        <v>461.60714285714283</v>
      </c>
      <c r="J31" s="96">
        <f>IF(ISERROR(作業シート!I31),"",作業シート!I31)</f>
        <v>480.07142857142856</v>
      </c>
      <c r="K31" s="96">
        <f>IF(ISERROR(作業シート!J31),"",作業シート!J31)</f>
        <v>498.53571428571428</v>
      </c>
      <c r="L31" s="96">
        <f>IF(ISERROR(作業シート!K31),"",作業シート!K31)</f>
        <v>517</v>
      </c>
    </row>
    <row r="32" spans="1:12" ht="12" customHeight="1">
      <c r="B32" s="97" t="s">
        <v>136</v>
      </c>
      <c r="C32" s="175" t="s">
        <v>137</v>
      </c>
      <c r="D32" s="143">
        <f>IF(AND(D22&gt;0,$C$32="低-1（分）"),$D$17/1000/作業シート!C6*60,IF(AND(D23&gt;0,$C$32="中-1（分）"),$D$17/1000/作業シート!C7*60,IF(AND(D24&gt;0,$C$32="低-2（分）"),$D$17/1000/作業シート!C8*60,IF(AND(D25&gt;0,$C$32="中-2（分）"),$D$17/1000/作業シート!C9*60,IF(AND(D26&gt;0,$C$32="低-3（分）"),$D$17/1000/作業シート!C10*60,IF(AND(D27&gt;0,$C$32="中-3（分）"),$D$17/1000/作業シート!C11*60,0))))))</f>
        <v>16.336087827329287</v>
      </c>
      <c r="E32" s="143">
        <f>IF(AND(E22&gt;0,$C$32="低-1（分）"),$D$17/1000/作業シート!D6*60,IF(AND(E23&gt;0,$C$32="中-1（分）"),$D$17/1000/作業シート!D7*60,IF(AND(E24&gt;0,$C$32="低-2（分）"),$D$17/1000/作業シート!D8*60,IF(AND(E25&gt;0,$C$32="中-2（分）"),$D$17/1000/作業シート!D9*60,IF(AND(E26&gt;0,$C$32="低-3（分）"),$D$17/1000/作業シート!D10*60,IF(AND(E27&gt;0,$C$32="中-3（分）"),$D$17/1000/作業シート!D11*60,0))))))</f>
        <v>14.520966957626031</v>
      </c>
      <c r="F32" s="143">
        <f>IF(AND(F22&gt;0,$C$32="低-1（分）"),$D$17/1000/作業シート!E6*60,IF(AND(F23&gt;0,$C$32="中-1（分）"),$D$17/1000/作業シート!E7*60,IF(AND(F24&gt;0,$C$32="低-2（分）"),$D$17/1000/作業シート!E8*60,IF(AND(F25&gt;0,$C$32="中-2（分）"),$D$17/1000/作業シート!E9*60,IF(AND(F26&gt;0,$C$32="低-3（分）"),$D$17/1000/作業シート!E10*60,IF(AND(F27&gt;0,$C$32="中-3（分）"),$D$17/1000/作業シート!E11*60,0))))))</f>
        <v>13.068870261863427</v>
      </c>
      <c r="G32" s="143">
        <f>IF(AND(G22&gt;0,$C$32="低-1（分）"),$D$17/1000/作業シート!F6*60,IF(AND(G23&gt;0,$C$32="中-1（分）"),$D$17/1000/作業シート!F7*60,IF(AND(G24&gt;0,$C$32="低-2（分）"),$D$17/1000/作業シート!F8*60,IF(AND(G25&gt;0,$C$32="中-2（分）"),$D$17/1000/作業シート!F9*60,IF(AND(G26&gt;0,$C$32="低-3（分）"),$D$17/1000/作業シート!F10*60,IF(AND(G27&gt;0,$C$32="中-3（分）"),$D$17/1000/作業シート!F11*60,0))))))</f>
        <v>11.880791147148571</v>
      </c>
      <c r="H32" s="143">
        <f>IF(AND(H22&gt;0,$C$32="低-1（分）"),$D$17/1000/作業シート!G6*60,IF(AND(H23&gt;0,$C$32="中-1（分）"),$D$17/1000/作業シート!G7*60,IF(AND(H24&gt;0,$C$32="低-2（分）"),$D$17/1000/作業シート!G8*60,IF(AND(H25&gt;0,$C$32="中-2（分）"),$D$17/1000/作業シート!G9*60,IF(AND(H26&gt;0,$C$32="低-3（分）"),$D$17/1000/作業シート!G10*60,IF(AND(H27&gt;0,$C$32="中-3（分）"),$D$17/1000/作業シート!G11*60,0))))))</f>
        <v>10.455096209490742</v>
      </c>
      <c r="I32" s="143">
        <f>IF(AND(I22&gt;0,$C$32="低-1（分）"),$D$17/1000/作業シート!H6*60,IF(AND(I23&gt;0,$C$32="中-1（分）"),$D$17/1000/作業シート!H7*60,IF(AND(I24&gt;0,$C$32="低-2（分）"),$D$17/1000/作業シート!H8*60,IF(AND(I25&gt;0,$C$32="中-2（分）"),$D$17/1000/作業シート!H9*60,IF(AND(I26&gt;0,$C$32="低-3（分）"),$D$17/1000/作業シート!H10*60,IF(AND(I27&gt;0,$C$32="中-3（分）"),$D$17/1000/作業シート!H11*60,0))))))</f>
        <v>10.036892361111112</v>
      </c>
      <c r="J32" s="143">
        <f>IF(AND(J22&gt;0,$C$32="低-1（分）"),$D$17/1000/作業シート!I6*60,IF(AND(J23&gt;0,$C$32="中-1（分）"),$D$17/1000/作業シート!I7*60,IF(AND(J24&gt;0,$C$32="低-2（分）"),$D$17/1000/作業シート!I8*60,IF(AND(J25&gt;0,$C$32="中-2（分）"),$D$17/1000/作業シート!I9*60,IF(AND(J26&gt;0,$C$32="低-3（分）"),$D$17/1000/作業シート!I10*60,IF(AND(J27&gt;0,$C$32="中-3（分）"),$D$17/1000/作業シート!I11*60,0))))))</f>
        <v>9.6354166666666679</v>
      </c>
      <c r="K32" s="143">
        <f>IF(AND(K22&gt;0,$C$32="低-1（分）"),$D$17/1000/作業シート!J6*60,IF(AND(K23&gt;0,$C$32="中-1（分）"),$D$17/1000/作業シート!J7*60,IF(AND(K24&gt;0,$C$32="低-2（分）"),$D$17/1000/作業シート!J8*60,IF(AND(K25&gt;0,$C$32="中-2（分）"),$D$17/1000/作業シート!J9*60,IF(AND(K26&gt;0,$C$32="低-3（分）"),$D$17/1000/作業シート!J10*60,IF(AND(K27&gt;0,$C$32="中-3（分）"),$D$17/1000/作業シート!J11*60,0))))))</f>
        <v>9.25</v>
      </c>
      <c r="L32" s="143">
        <f>IF(AND(L22&gt;0,$C$32="低-1（分）"),$D$17/1000/作業シート!K6*60,IF(AND(L23&gt;0,$C$32="中-1（分）"),$D$17/1000/作業シート!K7*60,IF(AND(L24&gt;0,$C$32="低-2（分）"),$D$17/1000/作業シート!K8*60,IF(AND(L25&gt;0,$C$32="中-2（分）"),$D$17/1000/作業シート!K9*60,IF(AND(L26&gt;0,$C$32="低-3（分）"),$D$17/1000/作業シート!K10*60,IF(AND(L27&gt;0,$C$32="中-3（分）"),$D$17/1000/作業シート!K11*60,0))))))</f>
        <v>8.879999999999999</v>
      </c>
    </row>
    <row r="33" spans="1:12" ht="7.05" customHeight="1" thickBot="1">
      <c r="C33" s="21"/>
      <c r="D33" s="57"/>
      <c r="E33" s="57"/>
      <c r="F33" s="57"/>
      <c r="G33" s="57"/>
      <c r="H33" s="57"/>
      <c r="I33" s="57"/>
      <c r="J33" s="57"/>
      <c r="K33" s="57"/>
      <c r="L33" s="57"/>
    </row>
    <row r="34" spans="1:12" ht="6" customHeight="1" thickTop="1">
      <c r="B34" s="217"/>
      <c r="C34" s="217"/>
      <c r="D34" s="217"/>
      <c r="E34" s="217"/>
      <c r="F34" s="217"/>
      <c r="G34" s="217"/>
      <c r="H34" s="217"/>
      <c r="I34" s="217"/>
      <c r="J34" s="217"/>
      <c r="K34" s="217"/>
      <c r="L34" s="217"/>
    </row>
    <row r="35" spans="1:12" ht="21" customHeight="1">
      <c r="B35" s="213" t="s">
        <v>209</v>
      </c>
      <c r="C35" s="213"/>
      <c r="D35" s="24"/>
      <c r="E35" s="24"/>
      <c r="F35" s="24"/>
      <c r="G35" s="25"/>
      <c r="H35" s="25"/>
      <c r="I35" s="22"/>
      <c r="J35" s="22"/>
    </row>
    <row r="36" spans="1:12" ht="9" customHeight="1"/>
    <row r="37" spans="1:12" ht="15.75" customHeight="1">
      <c r="B37" s="204" t="s">
        <v>154</v>
      </c>
      <c r="C37" s="205"/>
      <c r="D37" s="220" t="s">
        <v>139</v>
      </c>
      <c r="E37" s="220"/>
      <c r="G37" s="26" t="s">
        <v>8</v>
      </c>
      <c r="H37" s="26" t="s">
        <v>9</v>
      </c>
      <c r="I37" s="27" t="s">
        <v>138</v>
      </c>
      <c r="J37" s="27" t="s">
        <v>11</v>
      </c>
    </row>
    <row r="38" spans="1:12" ht="14.4">
      <c r="G38" s="176" t="s">
        <v>216</v>
      </c>
      <c r="H38" s="12" t="s">
        <v>12</v>
      </c>
      <c r="I38" s="9">
        <v>14</v>
      </c>
      <c r="J38" s="133">
        <f>作業シート!G36</f>
        <v>22.68</v>
      </c>
      <c r="K38" s="182">
        <f>IF($J$41&gt;0,J38/$J$41,0)</f>
        <v>0.72972972972972971</v>
      </c>
      <c r="L38" s="181"/>
    </row>
    <row r="39" spans="1:12" ht="14.4" customHeight="1">
      <c r="B39" s="204" t="s">
        <v>210</v>
      </c>
      <c r="C39" s="205"/>
      <c r="D39" s="220" t="s">
        <v>199</v>
      </c>
      <c r="E39" s="220"/>
      <c r="G39" s="177" t="s">
        <v>196</v>
      </c>
      <c r="H39" s="13" t="s">
        <v>67</v>
      </c>
      <c r="I39" s="10">
        <v>4</v>
      </c>
      <c r="J39" s="134">
        <f>作業シート!G37</f>
        <v>8.4</v>
      </c>
      <c r="K39" s="182">
        <f t="shared" ref="K39:K40" si="1">IF($J$41&gt;0,J39/$J$41,0)</f>
        <v>0.27027027027027029</v>
      </c>
      <c r="L39" s="191" t="s">
        <v>152</v>
      </c>
    </row>
    <row r="40" spans="1:12" ht="14.4">
      <c r="C40" s="183" t="s">
        <v>14</v>
      </c>
      <c r="D40" s="28">
        <f>IF(D39&lt;&gt;"",VLOOKUP(D39,走行距離,2,FALSE),"")</f>
        <v>154</v>
      </c>
      <c r="E40" s="17" t="s">
        <v>15</v>
      </c>
      <c r="G40" s="178"/>
      <c r="H40" s="14"/>
      <c r="I40" s="11"/>
      <c r="J40" s="138">
        <f>作業シート!G38</f>
        <v>0</v>
      </c>
      <c r="K40" s="182">
        <f t="shared" si="1"/>
        <v>0</v>
      </c>
      <c r="L40" s="192"/>
    </row>
    <row r="41" spans="1:12" ht="15.75" customHeight="1">
      <c r="B41" s="204" t="s">
        <v>132</v>
      </c>
      <c r="C41" s="205"/>
      <c r="D41" s="16">
        <v>1.5</v>
      </c>
      <c r="E41" s="17" t="s">
        <v>17</v>
      </c>
      <c r="G41" s="22"/>
      <c r="H41" s="26" t="s">
        <v>18</v>
      </c>
      <c r="I41" s="27">
        <f>SUM(I38:I40)</f>
        <v>18</v>
      </c>
      <c r="J41" s="132">
        <f>J38+J39+J40</f>
        <v>31.08</v>
      </c>
      <c r="K41" s="17" t="s">
        <v>19</v>
      </c>
      <c r="L41" s="151">
        <f>IF(D7&lt;&gt;0,VLOOKUP(D7,車速表!A:AH,34,FALSE),0)</f>
        <v>18</v>
      </c>
    </row>
    <row r="42" spans="1:12" ht="13.8" thickBot="1">
      <c r="J42" s="30"/>
    </row>
    <row r="43" spans="1:12" ht="16.5" customHeight="1" thickBot="1">
      <c r="D43" s="214" t="s">
        <v>20</v>
      </c>
      <c r="E43" s="215"/>
      <c r="F43" s="215"/>
      <c r="G43" s="215"/>
      <c r="H43" s="215"/>
      <c r="I43" s="215"/>
      <c r="J43" s="215"/>
      <c r="K43" s="215"/>
      <c r="L43" s="216"/>
    </row>
    <row r="44" spans="1:12" s="22" customFormat="1" ht="19.5" customHeight="1" thickBot="1">
      <c r="A44" s="142"/>
      <c r="B44" s="211" t="s">
        <v>21</v>
      </c>
      <c r="C44" s="212"/>
      <c r="D44" s="119">
        <v>1600</v>
      </c>
      <c r="E44" s="121">
        <v>1800</v>
      </c>
      <c r="F44" s="121">
        <v>2000</v>
      </c>
      <c r="G44" s="121">
        <v>2200</v>
      </c>
      <c r="H44" s="121">
        <v>2400</v>
      </c>
      <c r="I44" s="120">
        <v>2500</v>
      </c>
      <c r="J44" s="120">
        <v>2600</v>
      </c>
      <c r="K44" s="120">
        <v>2700</v>
      </c>
      <c r="L44" s="122">
        <v>2800</v>
      </c>
    </row>
    <row r="45" spans="1:12" ht="17.25" customHeight="1">
      <c r="B45" s="208" t="s">
        <v>22</v>
      </c>
      <c r="C45" s="99" t="s">
        <v>23</v>
      </c>
      <c r="D45" s="123">
        <f>IF(ISERROR(作業シート!C42),"",INT(作業シート!C42/10+0.5)*10)</f>
        <v>350</v>
      </c>
      <c r="E45" s="102">
        <f>IF(ISERROR(作業シート!D42),"",INT(作業シート!D42/10+0.5)*10)</f>
        <v>310</v>
      </c>
      <c r="F45" s="102">
        <f>IF(ISERROR(作業シート!E42),"",INT(作業シート!E42/10+0.5)*10)</f>
        <v>280</v>
      </c>
      <c r="G45" s="102">
        <f>IF(ISERROR(作業シート!F42),"",INT(作業シート!F42/10+0.5)*10)</f>
        <v>260</v>
      </c>
      <c r="H45" s="103">
        <f>IF(ISERROR(作業シート!G42),"",INT(作業シート!G42/10+0.5)*10)</f>
        <v>230</v>
      </c>
      <c r="I45" s="103">
        <f>IF(ISERROR(作業シート!H42),"",INT(作業シート!H42/10+0.5)*10)</f>
        <v>220</v>
      </c>
      <c r="J45" s="103">
        <f>IF(ISERROR(作業シート!I42),"",INT(作業シート!I42/10+0.5)*10)</f>
        <v>210</v>
      </c>
      <c r="K45" s="103">
        <f>IF(ISERROR(作業シート!J42),"",INT(作業シート!J42/10+0.5)*10)</f>
        <v>200</v>
      </c>
      <c r="L45" s="124">
        <f>IF(ISERROR(作業シート!K42),"",INT(作業シート!K42/10+0.5)*10)</f>
        <v>190</v>
      </c>
    </row>
    <row r="46" spans="1:12" ht="17.25" customHeight="1">
      <c r="B46" s="209"/>
      <c r="C46" s="106" t="s">
        <v>24</v>
      </c>
      <c r="D46" s="125">
        <f>IF(ISERROR(作業シート!C43),"",INT(作業シート!C43/10+0.5)*10)</f>
        <v>310</v>
      </c>
      <c r="E46" s="109">
        <f>IF(ISERROR(作業シート!D43),"",INT(作業シート!D43/10+0.5)*10)</f>
        <v>280</v>
      </c>
      <c r="F46" s="109">
        <f>IF(ISERROR(作業シート!E43),"",INT(作業シート!E43/10+0.5)*10)</f>
        <v>250</v>
      </c>
      <c r="G46" s="109">
        <f>IF(ISERROR(作業シート!F43),"",INT(作業シート!F43/10+0.5)*10)</f>
        <v>230</v>
      </c>
      <c r="H46" s="110">
        <f>IF(ISERROR(作業シート!G43),"",INT(作業シート!G43/10+0.5)*10)</f>
        <v>200</v>
      </c>
      <c r="I46" s="110">
        <f>IF(ISERROR(作業シート!H43),"",INT(作業シート!H43/10+0.5)*10)</f>
        <v>190</v>
      </c>
      <c r="J46" s="110">
        <f>IF(ISERROR(作業シート!I43),"",INT(作業シート!I43/10+0.5)*10)</f>
        <v>180</v>
      </c>
      <c r="K46" s="110">
        <f>IF(ISERROR(作業シート!J43),"",INT(作業シート!J43/10+0.5)*10)</f>
        <v>180</v>
      </c>
      <c r="L46" s="126">
        <f>IF(ISERROR(作業シート!K43),"",INT(作業シート!K43/10+0.5)*10)</f>
        <v>170</v>
      </c>
    </row>
    <row r="47" spans="1:12" ht="17.25" customHeight="1">
      <c r="B47" s="209"/>
      <c r="C47" s="106" t="s">
        <v>25</v>
      </c>
      <c r="D47" s="125">
        <f>IF(ISERROR(作業シート!C44),"",INT(作業シート!C44/10+0.5)*10)</f>
        <v>250</v>
      </c>
      <c r="E47" s="109">
        <f>IF(ISERROR(作業シート!D44),"",INT(作業シート!D44/10+0.5)*10)</f>
        <v>220</v>
      </c>
      <c r="F47" s="109">
        <f>IF(ISERROR(作業シート!E44),"",INT(作業シート!E44/10+0.5)*10)</f>
        <v>200</v>
      </c>
      <c r="G47" s="109">
        <f>IF(ISERROR(作業シート!F44),"",INT(作業シート!F44/10+0.5)*10)</f>
        <v>180</v>
      </c>
      <c r="H47" s="110">
        <f>IF(ISERROR(作業シート!G44),"",INT(作業シート!G44/10+0.5)*10)</f>
        <v>160</v>
      </c>
      <c r="I47" s="110">
        <f>IF(ISERROR(作業シート!H44),"",INT(作業シート!H44/10+0.5)*10)</f>
        <v>150</v>
      </c>
      <c r="J47" s="110">
        <f>IF(ISERROR(作業シート!I44),"",INT(作業シート!I44/10+0.5)*10)</f>
        <v>150</v>
      </c>
      <c r="K47" s="110">
        <f>IF(ISERROR(作業シート!J44),"",INT(作業シート!J44/10+0.5)*10)</f>
        <v>140</v>
      </c>
      <c r="L47" s="126">
        <f>IF(ISERROR(作業シート!K44),"",INT(作業シート!K44/10+0.5)*10)</f>
        <v>140</v>
      </c>
    </row>
    <row r="48" spans="1:12" ht="17.25" customHeight="1">
      <c r="B48" s="209"/>
      <c r="C48" s="106" t="s">
        <v>26</v>
      </c>
      <c r="D48" s="125">
        <f>IF(ISERROR(作業シート!C45),"",INT(作業シート!C45/10+0.5)*10)</f>
        <v>210</v>
      </c>
      <c r="E48" s="109">
        <f>IF(ISERROR(作業シート!D45),"",INT(作業シート!D45/10+0.5)*10)</f>
        <v>190</v>
      </c>
      <c r="F48" s="109">
        <f>IF(ISERROR(作業シート!E45),"",INT(作業シート!E45/10+0.5)*10)</f>
        <v>170</v>
      </c>
      <c r="G48" s="109">
        <f>IF(ISERROR(作業シート!F45),"",INT(作業シート!F45/10+0.5)*10)</f>
        <v>150</v>
      </c>
      <c r="H48" s="110">
        <f>IF(ISERROR(作業シート!G45),"",INT(作業シート!G45/10+0.5)*10)</f>
        <v>140</v>
      </c>
      <c r="I48" s="110">
        <f>IF(ISERROR(作業シート!H45),"",INT(作業シート!H45/10+0.5)*10)</f>
        <v>130</v>
      </c>
      <c r="J48" s="110">
        <f>IF(ISERROR(作業シート!I45),"",INT(作業シート!I45/10+0.5)*10)</f>
        <v>120</v>
      </c>
      <c r="K48" s="110">
        <f>IF(ISERROR(作業シート!J45),"",INT(作業シート!J45/10+0.5)*10)</f>
        <v>120</v>
      </c>
      <c r="L48" s="126">
        <f>IF(ISERROR(作業シート!K45),"",INT(作業シート!K45/10+0.5)*10)</f>
        <v>110</v>
      </c>
    </row>
    <row r="49" spans="2:12" ht="17.25" customHeight="1">
      <c r="B49" s="209"/>
      <c r="C49" s="106" t="s">
        <v>27</v>
      </c>
      <c r="D49" s="125">
        <f>IF(ISERROR(作業シート!C46),"",INT(作業シート!C46/10+0.5)*10)</f>
        <v>170</v>
      </c>
      <c r="E49" s="109">
        <f>IF(ISERROR(作業シート!D46),"",INT(作業シート!D46/10+0.5)*10)</f>
        <v>150</v>
      </c>
      <c r="F49" s="109">
        <f>IF(ISERROR(作業シート!E46),"",INT(作業シート!E46/10+0.5)*10)</f>
        <v>140</v>
      </c>
      <c r="G49" s="109">
        <f>IF(ISERROR(作業シート!F46),"",INT(作業シート!F46/10+0.5)*10)</f>
        <v>120</v>
      </c>
      <c r="H49" s="110">
        <f>IF(ISERROR(作業シート!G46),"",INT(作業シート!G46/10+0.5)*10)</f>
        <v>110</v>
      </c>
      <c r="I49" s="110">
        <f>IF(ISERROR(作業シート!H46),"",INT(作業シート!H46/10+0.5)*10)</f>
        <v>100</v>
      </c>
      <c r="J49" s="110">
        <f>IF(ISERROR(作業シート!I46),"",INT(作業シート!I46/10+0.5)*10)</f>
        <v>100</v>
      </c>
      <c r="K49" s="110">
        <f>IF(ISERROR(作業シート!J46),"",INT(作業シート!J46/10+0.5)*10)</f>
        <v>100</v>
      </c>
      <c r="L49" s="126">
        <f>IF(ISERROR(作業シート!K46),"",INT(作業シート!K46/10+0.5)*10)</f>
        <v>90</v>
      </c>
    </row>
    <row r="50" spans="2:12" ht="17.25" customHeight="1" thickBot="1">
      <c r="B50" s="210"/>
      <c r="C50" s="113" t="s">
        <v>28</v>
      </c>
      <c r="D50" s="127">
        <f>IF(ISERROR(作業シート!C47),"",INT(作業シート!C47/10+0.5)*10)</f>
        <v>150</v>
      </c>
      <c r="E50" s="116">
        <f>IF(ISERROR(作業シート!D47),"",INT(作業シート!D47/10+0.5)*10)</f>
        <v>130</v>
      </c>
      <c r="F50" s="116">
        <f>IF(ISERROR(作業シート!E47),"",INT(作業シート!E47/10+0.5)*10)</f>
        <v>120</v>
      </c>
      <c r="G50" s="116">
        <f>IF(ISERROR(作業シート!F47),"",INT(作業シート!F47/10+0.5)*10)</f>
        <v>110</v>
      </c>
      <c r="H50" s="117">
        <f>IF(ISERROR(作業シート!G47),"",INT(作業シート!G47/10+0.5)*10)</f>
        <v>90</v>
      </c>
      <c r="I50" s="117">
        <f>IF(ISERROR(作業シート!H47),"",INT(作業シート!H47/10+0.5)*10)</f>
        <v>90</v>
      </c>
      <c r="J50" s="117">
        <f>IF(ISERROR(作業シート!I47),"",INT(作業シート!I47/10+0.5)*10)</f>
        <v>90</v>
      </c>
      <c r="K50" s="117">
        <f>IF(ISERROR(作業シート!J47),"",INT(作業シート!J47/10+0.5)*10)</f>
        <v>80</v>
      </c>
      <c r="L50" s="128">
        <f>IF(ISERROR(作業シート!K47),"",INT(作業シート!K47/10+0.5)*10)</f>
        <v>80</v>
      </c>
    </row>
    <row r="51" spans="2:12" ht="3" customHeight="1">
      <c r="B51" s="130"/>
      <c r="C51" s="131"/>
      <c r="D51" s="129"/>
      <c r="E51" s="129"/>
      <c r="F51" s="129"/>
      <c r="G51" s="129"/>
      <c r="H51" s="129"/>
      <c r="I51" s="129"/>
      <c r="J51" s="129"/>
      <c r="K51" s="129"/>
      <c r="L51" s="129"/>
    </row>
    <row r="52" spans="2:12" ht="12" customHeight="1">
      <c r="B52" s="219" t="s">
        <v>135</v>
      </c>
      <c r="C52" s="219"/>
      <c r="D52" s="96">
        <f>IF(ISERROR(作業シート!C48),"",作業シート!C48)</f>
        <v>46.14285714285716</v>
      </c>
      <c r="E52" s="96">
        <f>IF(ISERROR(作業シート!D48),"",作業シート!D48)</f>
        <v>51.910714285714299</v>
      </c>
      <c r="F52" s="96">
        <f>IF(ISERROR(作業シート!E48),"",作業シート!E48)</f>
        <v>57.678571428571438</v>
      </c>
      <c r="G52" s="96">
        <f>IF(ISERROR(作業シート!F48),"",作業シート!F48)</f>
        <v>63.446428571428577</v>
      </c>
      <c r="H52" s="96">
        <f>IF(ISERROR(作業シート!G48),"",作業シート!G48)</f>
        <v>69.214285714285722</v>
      </c>
      <c r="I52" s="96">
        <f>IF(ISERROR(作業シート!H48),"",作業シート!H48)</f>
        <v>72.098214285714292</v>
      </c>
      <c r="J52" s="96">
        <f>IF(ISERROR(作業シート!I48),"",作業シート!I48)</f>
        <v>74.982142857142861</v>
      </c>
      <c r="K52" s="96">
        <f>IF(ISERROR(作業シート!J48),"",作業シート!J48)</f>
        <v>77.866071428571431</v>
      </c>
      <c r="L52" s="96">
        <f>IF(ISERROR(作業シート!K48),"",作業シート!K48)</f>
        <v>80.75</v>
      </c>
    </row>
    <row r="53" spans="2:12" ht="12" customHeight="1">
      <c r="B53" s="206" t="s">
        <v>148</v>
      </c>
      <c r="C53" s="206"/>
      <c r="D53" s="96">
        <f>IF(ISERROR(作業シート!C49),"",作業シート!C49)</f>
        <v>415.42857142857144</v>
      </c>
      <c r="E53" s="96">
        <f>IF(ISERROR(作業シート!D49),"",作業シート!D49)</f>
        <v>467.35714285714289</v>
      </c>
      <c r="F53" s="96">
        <f>IF(ISERROR(作業シート!E49),"",作業シート!E49)</f>
        <v>519.28571428571433</v>
      </c>
      <c r="G53" s="96">
        <f>IF(ISERROR(作業シート!F49),"",作業シート!F49)</f>
        <v>571.21428571428578</v>
      </c>
      <c r="H53" s="96">
        <f>IF(ISERROR(作業シート!G49),"",作業シート!G49)</f>
        <v>623.14285714285722</v>
      </c>
      <c r="I53" s="96">
        <f>IF(ISERROR(作業シート!H49),"",作業シート!H49)</f>
        <v>649.10714285714289</v>
      </c>
      <c r="J53" s="96">
        <f>IF(ISERROR(作業シート!I49),"",作業シート!I49)</f>
        <v>675.07142857142867</v>
      </c>
      <c r="K53" s="96">
        <f>IF(ISERROR(作業シート!J49),"",作業シート!J49)</f>
        <v>701.03571428571433</v>
      </c>
      <c r="L53" s="96">
        <f>IF(ISERROR(作業シート!K49),"",作業シート!K49)</f>
        <v>727</v>
      </c>
    </row>
    <row r="54" spans="2:12" ht="12" customHeight="1">
      <c r="B54" s="97"/>
      <c r="C54" s="156" t="s">
        <v>197</v>
      </c>
      <c r="D54" s="96">
        <f>IF(ISERROR(作業シート!C50),"",作業シート!C50)</f>
        <v>295.42857142857144</v>
      </c>
      <c r="E54" s="96">
        <f>IF(ISERROR(作業シート!D50),"",作業シート!D50)</f>
        <v>332.35714285714289</v>
      </c>
      <c r="F54" s="96">
        <f>IF(ISERROR(作業シート!E50),"",作業シート!E50)</f>
        <v>369.28571428571433</v>
      </c>
      <c r="G54" s="96">
        <f>IF(ISERROR(作業シート!F50),"",作業シート!F50)</f>
        <v>406.21428571428572</v>
      </c>
      <c r="H54" s="96">
        <f>IF(ISERROR(作業シート!G50),"",作業シート!G50)</f>
        <v>443.14285714285711</v>
      </c>
      <c r="I54" s="96">
        <f>IF(ISERROR(作業シート!H50),"",作業シート!H50)</f>
        <v>461.60714285714283</v>
      </c>
      <c r="J54" s="96">
        <f>IF(ISERROR(作業シート!I50),"",作業シート!I50)</f>
        <v>480.07142857142856</v>
      </c>
      <c r="K54" s="96">
        <f>IF(ISERROR(作業シート!J50),"",作業シート!J50)</f>
        <v>498.53571428571428</v>
      </c>
      <c r="L54" s="96">
        <f>IF(ISERROR(作業シート!K50),"",作業シート!K50)</f>
        <v>517</v>
      </c>
    </row>
    <row r="55" spans="2:12" ht="12" customHeight="1">
      <c r="B55" s="97" t="s">
        <v>136</v>
      </c>
      <c r="C55" s="175" t="s">
        <v>137</v>
      </c>
      <c r="D55" s="143">
        <f>IF(AND(D45&gt;0,$C$55="低-1（分）"),$D$40/1000/作業シート!C6*60,IF(AND(D46&gt;0,$C$55="中-1（分）"),$D$40/1000/作業シート!C7*60,IF(AND(D47&gt;0,$C$55="低-2（分）"),$D$40/1000/作業シート!C8*60,IF(AND(D48&gt;0,$C$55="中-2（分）"),$D$40/1000/作業シート!C9*60,IF(AND(D49&gt;0,$C$55="低-3（分）"),$D$40/1000/作業シート!C10*60,IF(AND(D50&gt;0,$C$55="中-3（分）"),$D$40/1000/作業シート!C11*60,0))))))</f>
        <v>11.332241105444639</v>
      </c>
      <c r="E55" s="143">
        <f>IF(AND(E45&gt;0,$C$55="低-1（分）"),$D$40/1000/作業シート!D6*60,IF(AND(E46&gt;0,$C$55="中-1（分）"),$D$40/1000/作業シート!D7*60,IF(AND(E47&gt;0,$C$55="低-2（分）"),$D$40/1000/作業シート!D8*60,IF(AND(E48&gt;0,$C$55="中-2（分）"),$D$40/1000/作業シート!D9*60,IF(AND(E49&gt;0,$C$55="低-3（分）"),$D$40/1000/作業シート!D10*60,IF(AND(E50&gt;0,$C$55="中-3（分）"),$D$40/1000/作業シート!D11*60,0))))))</f>
        <v>10.073103204839679</v>
      </c>
      <c r="F55" s="143">
        <f>IF(AND(F45&gt;0,$C$55="低-1（分）"),$D$40/1000/作業シート!E6*60,IF(AND(F46&gt;0,$C$55="中-1（分）"),$D$40/1000/作業シート!E7*60,IF(AND(F47&gt;0,$C$55="低-2（分）"),$D$40/1000/作業シート!E8*60,IF(AND(F48&gt;0,$C$55="中-2（分）"),$D$40/1000/作業シート!E9*60,IF(AND(F49&gt;0,$C$55="低-3（分）"),$D$40/1000/作業シート!E10*60,IF(AND(F50&gt;0,$C$55="中-3（分）"),$D$40/1000/作業シート!E11*60,0))))))</f>
        <v>9.0657928843557105</v>
      </c>
      <c r="G55" s="143">
        <f>IF(AND(G45&gt;0,$C$55="低-1（分）"),$D$40/1000/作業シート!F6*60,IF(AND(G46&gt;0,$C$55="中-1（分）"),$D$40/1000/作業シート!F7*60,IF(AND(G47&gt;0,$C$55="低-2（分）"),$D$40/1000/作業シート!F8*60,IF(AND(G48&gt;0,$C$55="中-2（分）"),$D$40/1000/作業シート!F9*60,IF(AND(G49&gt;0,$C$55="低-3（分）"),$D$40/1000/作業シート!F10*60,IF(AND(G50&gt;0,$C$55="中-3（分）"),$D$40/1000/作業シート!F11*60,0))))))</f>
        <v>8.2416298948688276</v>
      </c>
      <c r="H55" s="143">
        <f>IF(AND(H45&gt;0,$C$55="低-1（分）"),$D$40/1000/作業シート!G6*60,IF(AND(H46&gt;0,$C$55="中-1（分）"),$D$40/1000/作業シート!G7*60,IF(AND(H47&gt;0,$C$55="低-2（分）"),$D$40/1000/作業シート!G8*60,IF(AND(H48&gt;0,$C$55="中-2（分）"),$D$40/1000/作業シート!G9*60,IF(AND(H49&gt;0,$C$55="低-3（分）"),$D$40/1000/作業シート!G10*60,IF(AND(H50&gt;0,$C$55="中-3（分）"),$D$40/1000/作業シート!G11*60,0))))))</f>
        <v>7.2526343074845689</v>
      </c>
      <c r="I55" s="143">
        <f>IF(AND(I45&gt;0,$C$55="低-1（分）"),$D$40/1000/作業シート!H6*60,IF(AND(I46&gt;0,$C$55="中-1（分）"),$D$40/1000/作業シート!H7*60,IF(AND(I47&gt;0,$C$55="低-2（分）"),$D$40/1000/作業シート!H8*60,IF(AND(I48&gt;0,$C$55="中-2（分）"),$D$40/1000/作業シート!H9*60,IF(AND(I49&gt;0,$C$55="低-3（分）"),$D$40/1000/作業シート!H10*60,IF(AND(I50&gt;0,$C$55="中-3（分）"),$D$40/1000/作業シート!H11*60,0))))))</f>
        <v>6.962528935185186</v>
      </c>
      <c r="J55" s="143">
        <f>IF(AND(J45&gt;0,$C$55="低-1（分）"),$D$40/1000/作業シート!I6*60,IF(AND(J46&gt;0,$C$55="中-1（分）"),$D$40/1000/作業シート!I7*60,IF(AND(J47&gt;0,$C$55="低-2（分）"),$D$40/1000/作業シート!I8*60,IF(AND(J48&gt;0,$C$55="中-2（分）"),$D$40/1000/作業シート!I9*60,IF(AND(J49&gt;0,$C$55="低-3（分）"),$D$40/1000/作業シート!I10*60,IF(AND(J50&gt;0,$C$55="中-3（分）"),$D$40/1000/作業シート!I11*60,0))))))</f>
        <v>6.6840277777777786</v>
      </c>
      <c r="K55" s="143">
        <f>IF(AND(K45&gt;0,$C$55="低-1（分）"),$D$40/1000/作業シート!J6*60,IF(AND(K46&gt;0,$C$55="中-1（分）"),$D$40/1000/作業シート!J7*60,IF(AND(K47&gt;0,$C$55="低-2（分）"),$D$40/1000/作業シート!J8*60,IF(AND(K48&gt;0,$C$55="中-2（分）"),$D$40/1000/作業シート!J9*60,IF(AND(K49&gt;0,$C$55="低-3（分）"),$D$40/1000/作業シート!J10*60,IF(AND(K50&gt;0,$C$55="中-3（分）"),$D$40/1000/作業シート!J11*60,0))))))</f>
        <v>6.416666666666667</v>
      </c>
      <c r="L55" s="143">
        <f>IF(AND(L45&gt;0,$C$55="低-1（分）"),$D$40/1000/作業シート!K6*60,IF(AND(L46&gt;0,$C$55="中-1（分）"),$D$40/1000/作業シート!K7*60,IF(AND(L47&gt;0,$C$55="低-2（分）"),$D$40/1000/作業シート!K8*60,IF(AND(L48&gt;0,$C$55="中-2（分）"),$D$40/1000/作業シート!K9*60,IF(AND(L49&gt;0,$C$55="低-3（分）"),$D$40/1000/作業シート!K10*60,IF(AND(L50&gt;0,$C$55="中-3（分）"),$D$40/1000/作業シート!K11*60,0))))))</f>
        <v>6.16</v>
      </c>
    </row>
    <row r="56" spans="2:12" ht="7.05" customHeight="1" thickBot="1">
      <c r="B56" s="203"/>
      <c r="C56" s="203"/>
      <c r="D56" s="203"/>
      <c r="E56" s="203"/>
      <c r="F56" s="203"/>
      <c r="G56" s="203"/>
      <c r="H56" s="203"/>
      <c r="I56" s="203"/>
      <c r="J56" s="203"/>
      <c r="K56" s="203"/>
      <c r="L56" s="203"/>
    </row>
    <row r="57" spans="2:12" ht="13.8" thickTop="1"/>
    <row r="58" spans="2:12" ht="14.25" customHeight="1">
      <c r="B58" s="218" t="s">
        <v>108</v>
      </c>
      <c r="C58" s="218"/>
      <c r="D58" s="218"/>
      <c r="F58" s="141"/>
      <c r="G58" s="202" t="s">
        <v>211</v>
      </c>
      <c r="H58" s="202"/>
      <c r="I58" s="202"/>
      <c r="J58" s="202"/>
      <c r="K58" s="202"/>
      <c r="L58" s="202"/>
    </row>
    <row r="59" spans="2:12">
      <c r="B59" s="218" t="s">
        <v>29</v>
      </c>
      <c r="C59" s="218"/>
      <c r="D59" s="218"/>
      <c r="F59" s="141"/>
      <c r="G59" s="202" t="s">
        <v>198</v>
      </c>
      <c r="H59" s="202"/>
      <c r="I59" s="202"/>
      <c r="J59" s="202"/>
      <c r="K59" s="202"/>
      <c r="L59" s="202"/>
    </row>
    <row r="60" spans="2:12" ht="13.65" customHeight="1">
      <c r="B60" s="193" t="s">
        <v>131</v>
      </c>
      <c r="C60" s="194"/>
      <c r="D60" s="194"/>
      <c r="E60" s="194"/>
      <c r="F60" s="195"/>
      <c r="G60" s="202" t="s">
        <v>212</v>
      </c>
      <c r="H60" s="202"/>
      <c r="I60" s="202"/>
      <c r="J60" s="202"/>
      <c r="K60" s="202"/>
      <c r="L60" s="202"/>
    </row>
    <row r="61" spans="2:12" ht="13.65" customHeight="1">
      <c r="B61" s="196"/>
      <c r="C61" s="197"/>
      <c r="D61" s="197"/>
      <c r="E61" s="197"/>
      <c r="F61" s="198"/>
      <c r="G61" s="202" t="s">
        <v>30</v>
      </c>
      <c r="H61" s="202"/>
      <c r="I61" s="202"/>
      <c r="J61" s="202"/>
      <c r="K61" s="202"/>
      <c r="L61" s="202"/>
    </row>
    <row r="62" spans="2:12">
      <c r="B62" s="199"/>
      <c r="C62" s="200"/>
      <c r="D62" s="200"/>
      <c r="E62" s="200"/>
      <c r="F62" s="201"/>
      <c r="G62" s="202" t="s">
        <v>213</v>
      </c>
      <c r="H62" s="202"/>
      <c r="I62" s="202"/>
      <c r="J62" s="202"/>
      <c r="K62" s="202"/>
      <c r="L62" s="202"/>
    </row>
    <row r="63" spans="2:12">
      <c r="B63" s="207"/>
      <c r="C63" s="207"/>
      <c r="D63" s="207"/>
      <c r="E63" s="207"/>
      <c r="F63" s="207"/>
      <c r="G63" s="207"/>
      <c r="H63" s="207"/>
      <c r="I63" s="207"/>
      <c r="J63" s="207"/>
      <c r="K63" s="207"/>
      <c r="L63" s="207"/>
    </row>
  </sheetData>
  <sheetProtection algorithmName="SHA-512" hashValue="XP+b/alX5Nys1ZyDZe3/2ymV2dJbSrqf7lmDeO8woVLxtvYyKk/C6g8W+dTpbvZwXXxtl+KwvZYQdOiWmPR3qw==" saltValue="CgdK8lJDB8vJjGaKwBNmRA==" spinCount="100000" sheet="1" objects="1" scenarios="1" selectLockedCells="1"/>
  <mergeCells count="45">
    <mergeCell ref="B1:J1"/>
    <mergeCell ref="D5:E5"/>
    <mergeCell ref="G5:I5"/>
    <mergeCell ref="B39:C39"/>
    <mergeCell ref="D39:E39"/>
    <mergeCell ref="B30:C30"/>
    <mergeCell ref="B12:C12"/>
    <mergeCell ref="B14:C14"/>
    <mergeCell ref="B16:C16"/>
    <mergeCell ref="B9:C9"/>
    <mergeCell ref="E3:I3"/>
    <mergeCell ref="D7:L7"/>
    <mergeCell ref="D14:E14"/>
    <mergeCell ref="D16:E16"/>
    <mergeCell ref="D9:F9"/>
    <mergeCell ref="B63:L63"/>
    <mergeCell ref="B22:B27"/>
    <mergeCell ref="B18:C18"/>
    <mergeCell ref="B21:C21"/>
    <mergeCell ref="B35:C35"/>
    <mergeCell ref="D43:L43"/>
    <mergeCell ref="D20:L20"/>
    <mergeCell ref="B34:L34"/>
    <mergeCell ref="B59:D59"/>
    <mergeCell ref="B44:C44"/>
    <mergeCell ref="B41:C41"/>
    <mergeCell ref="B29:C29"/>
    <mergeCell ref="B52:C52"/>
    <mergeCell ref="D37:E37"/>
    <mergeCell ref="B58:D58"/>
    <mergeCell ref="B45:B50"/>
    <mergeCell ref="F2:H2"/>
    <mergeCell ref="I9:J9"/>
    <mergeCell ref="B11:K11"/>
    <mergeCell ref="L16:L17"/>
    <mergeCell ref="B60:F62"/>
    <mergeCell ref="G62:L62"/>
    <mergeCell ref="G61:L61"/>
    <mergeCell ref="G60:L60"/>
    <mergeCell ref="G59:L59"/>
    <mergeCell ref="G58:L58"/>
    <mergeCell ref="B56:L56"/>
    <mergeCell ref="B37:C37"/>
    <mergeCell ref="L39:L40"/>
    <mergeCell ref="B53:C53"/>
  </mergeCells>
  <phoneticPr fontId="16"/>
  <conditionalFormatting sqref="D21:D27">
    <cfRule type="expression" dxfId="21" priority="28">
      <formula>AND($D$7&gt;0,$D$29&gt;0,ROUND($J$18,0)&gt;ROUND($D$29,0))</formula>
    </cfRule>
  </conditionalFormatting>
  <conditionalFormatting sqref="E21:E27">
    <cfRule type="expression" dxfId="20" priority="23">
      <formula>AND($D$7&gt;0,$E$29&gt;0,ROUND($J$18,0)&gt;ROUND($E$29,0))</formula>
    </cfRule>
  </conditionalFormatting>
  <conditionalFormatting sqref="F21:F27">
    <cfRule type="expression" dxfId="19" priority="22">
      <formula>AND($D$7&gt;0,$F$29&gt;0,ROUND($J$18,0)&gt;ROUND($F$29,0))</formula>
    </cfRule>
  </conditionalFormatting>
  <conditionalFormatting sqref="G21:G27">
    <cfRule type="expression" dxfId="18" priority="21">
      <formula>AND($D$7&gt;0,$G$29&gt;0,ROUND($J$18,0)&gt;ROUND($G$29,0))</formula>
    </cfRule>
  </conditionalFormatting>
  <conditionalFormatting sqref="H21:H27">
    <cfRule type="expression" dxfId="17" priority="20">
      <formula>AND($D$7&gt;0,$H$29&gt;0,ROUND($J$18,0)&gt;ROUND($H$29,0))</formula>
    </cfRule>
  </conditionalFormatting>
  <conditionalFormatting sqref="I21:I27">
    <cfRule type="expression" dxfId="16" priority="19">
      <formula>AND($D$7&gt;0,$I$29&gt;0,ROUND($J$18,0)&gt;ROUND($I$29,0))</formula>
    </cfRule>
  </conditionalFormatting>
  <conditionalFormatting sqref="J21:J27">
    <cfRule type="expression" dxfId="15" priority="18">
      <formula>AND($D$7&gt;0,$J$29&gt;0,ROUND($J$18,0)&gt;ROUND($J$29,0))</formula>
    </cfRule>
  </conditionalFormatting>
  <conditionalFormatting sqref="K21:K27">
    <cfRule type="expression" dxfId="14" priority="17">
      <formula>AND($D$7&gt;0,$K$29&gt;0,ROUND($J$18,0)&gt;ROUND($K$29,0))</formula>
    </cfRule>
  </conditionalFormatting>
  <conditionalFormatting sqref="L21:L27">
    <cfRule type="expression" dxfId="13" priority="16">
      <formula>AND($D$7&gt;0,$L$29&gt;0,ROUND($J$18,0)&gt;ROUND($L$29,0))</formula>
    </cfRule>
  </conditionalFormatting>
  <conditionalFormatting sqref="D44:D50">
    <cfRule type="expression" dxfId="12" priority="15">
      <formula>AND($D$7&gt;0,$D$52&gt;0,ROUND($J$41,0)&gt;ROUND($D$52,0))</formula>
    </cfRule>
  </conditionalFormatting>
  <conditionalFormatting sqref="E44:E50">
    <cfRule type="expression" dxfId="11" priority="14">
      <formula>AND($D$7&gt;0,$E$52&gt;0,ROUND($J$41,0)&gt;ROUND($E$52,0))</formula>
    </cfRule>
  </conditionalFormatting>
  <conditionalFormatting sqref="F44:F50">
    <cfRule type="expression" dxfId="10" priority="13">
      <formula>AND($D$7&gt;0,$F$52&gt;0,ROUND($J$41,0)&gt;ROUND($F$52,0))</formula>
    </cfRule>
  </conditionalFormatting>
  <conditionalFormatting sqref="G44:G50">
    <cfRule type="expression" dxfId="9" priority="12">
      <formula>AND($D$7&gt;0,$G$52&gt;0,ROUND($J$41,0)&gt;ROUND($G$52,0))</formula>
    </cfRule>
  </conditionalFormatting>
  <conditionalFormatting sqref="H44:H50">
    <cfRule type="expression" dxfId="8" priority="11">
      <formula>AND($D$7&gt;0,$H$52&gt;0,ROUND($J$41,0)&gt;ROUND($H$52,0))</formula>
    </cfRule>
  </conditionalFormatting>
  <conditionalFormatting sqref="I44:I50">
    <cfRule type="expression" dxfId="7" priority="10">
      <formula>AND($D$7&gt;0,$I$52&gt;0,ROUND($J$41,0)&gt;ROUND($I$52,0))</formula>
    </cfRule>
  </conditionalFormatting>
  <conditionalFormatting sqref="J44:J50">
    <cfRule type="expression" dxfId="6" priority="9">
      <formula>AND($D$7&gt;0,$J$52&gt;0,ROUND($J$41,0)&gt;ROUND($J$52,0))</formula>
    </cfRule>
  </conditionalFormatting>
  <conditionalFormatting sqref="K44:K50">
    <cfRule type="expression" dxfId="5" priority="8">
      <formula>AND($D$7&gt;0,$K$52&gt;0,ROUND($J$41,0)&gt;ROUND($K$52,0))</formula>
    </cfRule>
  </conditionalFormatting>
  <conditionalFormatting sqref="L44:L50">
    <cfRule type="expression" dxfId="4" priority="7">
      <formula>AND($D$7&gt;0,$L$52&gt;0,ROUND($J$41,0)&gt;ROUND($L$52,0))</formula>
    </cfRule>
  </conditionalFormatting>
  <conditionalFormatting sqref="I18">
    <cfRule type="expression" dxfId="3" priority="5">
      <formula>$I$18&gt;$L$18</formula>
    </cfRule>
  </conditionalFormatting>
  <conditionalFormatting sqref="D29:L29">
    <cfRule type="expression" dxfId="2" priority="3">
      <formula>AND($D$7&gt;0,D29&gt;0,ROUND($J$18,0)&gt;ROUND(D29,0))</formula>
    </cfRule>
  </conditionalFormatting>
  <conditionalFormatting sqref="D52:L52">
    <cfRule type="expression" dxfId="1" priority="2">
      <formula>AND($D$7&gt;0,D52&gt;0,ROUND($J$41,0)&gt;ROUND(D52,0))</formula>
    </cfRule>
  </conditionalFormatting>
  <conditionalFormatting sqref="I41">
    <cfRule type="expression" dxfId="0" priority="1">
      <formula>$I$41&gt;$L$41</formula>
    </cfRule>
  </conditionalFormatting>
  <dataValidations count="8">
    <dataValidation type="list" allowBlank="1" showInputMessage="1" showErrorMessage="1" sqref="H15:H17 H38:H40" xr:uid="{00000000-0002-0000-0000-000000000000}">
      <formula1>噴板名称</formula1>
    </dataValidation>
    <dataValidation type="list" allowBlank="1" showInputMessage="1" sqref="I15:I17 I38:I40" xr:uid="{00000000-0002-0000-0000-000005000000}">
      <formula1>"0,2,4,6,8,10,12,14,16,18,20"</formula1>
    </dataValidation>
    <dataValidation type="list" allowBlank="1" showInputMessage="1" showErrorMessage="1" sqref="D18 D41" xr:uid="{00000000-0002-0000-0000-000006000000}">
      <formula1>"1.0,1.5,2.0"</formula1>
    </dataValidation>
    <dataValidation type="list" allowBlank="1" showInputMessage="1" sqref="G38:G40 G15:G17" xr:uid="{00000000-0002-0000-0000-000007000000}">
      <formula1>"上・斜め上,真上,斜め上,横,全周,その他"</formula1>
    </dataValidation>
    <dataValidation type="list" allowBlank="1" showInputMessage="1" showErrorMessage="1" sqref="C55 C32" xr:uid="{551C4F62-B3EE-4833-B3AA-4CFBE285CE80}">
      <formula1>"低-1（分）,中-1（分）,低-2（分）,中-2（分）,低-3（分）,中-3（分）"</formula1>
    </dataValidation>
    <dataValidation type="list" allowBlank="1" showInputMessage="1" sqref="D14:E14 D37:E37" xr:uid="{D34DA5C3-594F-4895-B3FC-B067AC556DEA}">
      <formula1>"リンゴ,モモ,ナシ,ブドウ,サクランボ,ミカン,柿,ネクタリン,プルーン,ブルーベリー,栗,アンズ,梅,立木,わい化,棚園,圃場-1,圃場-2"</formula1>
    </dataValidation>
    <dataValidation type="list" showInputMessage="1" showErrorMessage="1" sqref="D7:L7" xr:uid="{E9E5BF39-A69E-4013-8E4E-34104850BE5A}">
      <formula1>製品名</formula1>
    </dataValidation>
    <dataValidation type="list" allowBlank="1" showInputMessage="1" showErrorMessage="1" sqref="D16:E16 D39:E39" xr:uid="{3D6E09EA-C74E-4592-9ED0-D74B735E0BB2}">
      <formula1>散布幅</formula1>
    </dataValidation>
  </dataValidations>
  <pageMargins left="0.98425196850393704" right="0.23622047244094491" top="0.86614173228346458" bottom="0.74803149606299213" header="0.62992125984251968" footer="0.51181102362204722"/>
  <pageSetup paperSize="13" scale="71" firstPageNumber="4294963191" orientation="portrait" r:id="rId1"/>
  <headerFooter alignWithMargins="0">
    <oddHeader>&amp;C&amp;"ＭＳ Ｐゴシック,太字"&amp;14昭信スピードスプレヤー</oddHeader>
    <oddFooter>&amp;R(C)株式会社ショーシン</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92" r:id="rId4" name="Button 68">
              <controlPr defaultSize="0" print="0" autoFill="0" autoPict="0" macro="[0]!CommandButton1_Click">
                <anchor moveWithCells="1" sizeWithCells="1">
                  <from>
                    <xdr:col>12</xdr:col>
                    <xdr:colOff>175260</xdr:colOff>
                    <xdr:row>8</xdr:row>
                    <xdr:rowOff>160020</xdr:rowOff>
                  </from>
                  <to>
                    <xdr:col>13</xdr:col>
                    <xdr:colOff>670560</xdr:colOff>
                    <xdr:row>11</xdr:row>
                    <xdr:rowOff>30480</xdr:rowOff>
                  </to>
                </anchor>
              </controlPr>
            </control>
          </mc:Choice>
        </mc:AlternateContent>
        <mc:AlternateContent xmlns:mc="http://schemas.openxmlformats.org/markup-compatibility/2006">
          <mc:Choice Requires="x14">
            <control shapeId="1093" r:id="rId5" name="Button 69">
              <controlPr defaultSize="0" print="0" autoFill="0" autoPict="0" macro="[0]!CommandButton2_Click">
                <anchor moveWithCells="1" sizeWithCells="1">
                  <from>
                    <xdr:col>12</xdr:col>
                    <xdr:colOff>213360</xdr:colOff>
                    <xdr:row>14</xdr:row>
                    <xdr:rowOff>76200</xdr:rowOff>
                  </from>
                  <to>
                    <xdr:col>13</xdr:col>
                    <xdr:colOff>678180</xdr:colOff>
                    <xdr:row>16</xdr:row>
                    <xdr:rowOff>152400</xdr:rowOff>
                  </to>
                </anchor>
              </controlPr>
            </control>
          </mc:Choice>
        </mc:AlternateContent>
        <mc:AlternateContent xmlns:mc="http://schemas.openxmlformats.org/markup-compatibility/2006">
          <mc:Choice Requires="x14">
            <control shapeId="1094" r:id="rId6" name="Button 70">
              <controlPr defaultSize="0" print="0" autoFill="0" autoPict="0" macro="[0]!CommandButton3_Click">
                <anchor moveWithCells="1" sizeWithCells="1">
                  <from>
                    <xdr:col>12</xdr:col>
                    <xdr:colOff>198120</xdr:colOff>
                    <xdr:row>18</xdr:row>
                    <xdr:rowOff>22860</xdr:rowOff>
                  </from>
                  <to>
                    <xdr:col>14</xdr:col>
                    <xdr:colOff>0</xdr:colOff>
                    <xdr:row>20</xdr:row>
                    <xdr:rowOff>68580</xdr:rowOff>
                  </to>
                </anchor>
              </controlPr>
            </control>
          </mc:Choice>
        </mc:AlternateContent>
        <mc:AlternateContent xmlns:mc="http://schemas.openxmlformats.org/markup-compatibility/2006">
          <mc:Choice Requires="x14">
            <control shapeId="1095" r:id="rId7" name="Button 71">
              <controlPr defaultSize="0" print="0" autoFill="0" autoPict="0" macro="[0]!CommandButton4_Click">
                <anchor moveWithCells="1" sizeWithCells="1">
                  <from>
                    <xdr:col>12</xdr:col>
                    <xdr:colOff>213360</xdr:colOff>
                    <xdr:row>21</xdr:row>
                    <xdr:rowOff>175260</xdr:rowOff>
                  </from>
                  <to>
                    <xdr:col>14</xdr:col>
                    <xdr:colOff>0</xdr:colOff>
                    <xdr:row>23</xdr:row>
                    <xdr:rowOff>137160</xdr:rowOff>
                  </to>
                </anchor>
              </controlPr>
            </control>
          </mc:Choice>
        </mc:AlternateContent>
        <mc:AlternateContent xmlns:mc="http://schemas.openxmlformats.org/markup-compatibility/2006">
          <mc:Choice Requires="x14">
            <control shapeId="1096" r:id="rId8" name="Button 72">
              <controlPr defaultSize="0" print="0" autoFill="0" autoPict="0" macro="[0]!CommandButton5_Click">
                <anchor moveWithCells="1" sizeWithCells="1">
                  <from>
                    <xdr:col>12</xdr:col>
                    <xdr:colOff>220980</xdr:colOff>
                    <xdr:row>29</xdr:row>
                    <xdr:rowOff>7620</xdr:rowOff>
                  </from>
                  <to>
                    <xdr:col>14</xdr:col>
                    <xdr:colOff>0</xdr:colOff>
                    <xdr:row>33</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51"/>
  <sheetViews>
    <sheetView showZeros="0" topLeftCell="D15" workbookViewId="0">
      <selection activeCell="P20" sqref="P20:S20"/>
    </sheetView>
  </sheetViews>
  <sheetFormatPr defaultColWidth="9" defaultRowHeight="13.2"/>
  <cols>
    <col min="1" max="1" width="9" style="31"/>
    <col min="2" max="2" width="9.88671875" style="31" customWidth="1"/>
    <col min="3" max="11" width="7.6640625" style="31" customWidth="1"/>
    <col min="12" max="13" width="6.33203125" style="31" customWidth="1"/>
    <col min="14" max="15" width="9" style="31"/>
    <col min="16" max="24" width="7.109375" style="17" customWidth="1"/>
    <col min="25" max="25" width="4.21875" style="31" customWidth="1"/>
    <col min="26" max="16384" width="9" style="31"/>
  </cols>
  <sheetData>
    <row r="1" spans="1:24" ht="15" customHeight="1"/>
    <row r="2" spans="1:24" ht="11.25" customHeight="1">
      <c r="A2" s="32"/>
      <c r="B2" s="32"/>
      <c r="C2" s="33"/>
    </row>
    <row r="3" spans="1:24" ht="22.65" customHeight="1">
      <c r="A3" s="32" t="s">
        <v>129</v>
      </c>
      <c r="B3" s="34" t="s">
        <v>6</v>
      </c>
      <c r="C3" s="234" t="str">
        <f>■散布量計算シート!D7</f>
        <v>VE642C/CE642HC/FS642HC</v>
      </c>
      <c r="D3" s="234"/>
      <c r="E3" s="234"/>
      <c r="F3" s="234"/>
      <c r="G3" s="234"/>
      <c r="H3" s="234"/>
      <c r="I3" s="234"/>
      <c r="J3" s="234"/>
      <c r="K3" s="234"/>
      <c r="N3" s="152" t="s">
        <v>155</v>
      </c>
      <c r="O3" s="153" t="s">
        <v>6</v>
      </c>
      <c r="P3" s="250" t="str">
        <f>■散布量計算シート!D7</f>
        <v>VE642C/CE642HC/FS642HC</v>
      </c>
      <c r="Q3" s="250"/>
      <c r="R3" s="250"/>
      <c r="S3" s="250"/>
      <c r="T3" s="250"/>
      <c r="U3" s="250"/>
      <c r="V3" s="250"/>
      <c r="W3" s="250"/>
      <c r="X3" s="250"/>
    </row>
    <row r="4" spans="1:24" ht="13.8" thickBot="1">
      <c r="P4" s="31"/>
      <c r="Q4" s="31"/>
      <c r="R4" s="31"/>
      <c r="S4" s="31"/>
      <c r="T4" s="31"/>
      <c r="U4" s="31"/>
      <c r="V4" s="31"/>
      <c r="W4" s="31"/>
      <c r="X4" s="31"/>
    </row>
    <row r="5" spans="1:24" s="32" customFormat="1" ht="13.8" thickBot="1">
      <c r="A5" s="236" t="s">
        <v>21</v>
      </c>
      <c r="B5" s="236"/>
      <c r="C5" s="35">
        <v>1600</v>
      </c>
      <c r="D5" s="35">
        <v>1800</v>
      </c>
      <c r="E5" s="35">
        <v>2000</v>
      </c>
      <c r="F5" s="35">
        <v>2200</v>
      </c>
      <c r="G5" s="35">
        <v>2400</v>
      </c>
      <c r="H5" s="35">
        <v>2500</v>
      </c>
      <c r="I5" s="35">
        <v>2600</v>
      </c>
      <c r="J5" s="35">
        <v>2700</v>
      </c>
      <c r="K5" s="35">
        <v>2800</v>
      </c>
      <c r="N5" s="251" t="s">
        <v>21</v>
      </c>
      <c r="O5" s="252"/>
      <c r="P5" s="36">
        <v>1600</v>
      </c>
      <c r="Q5" s="37">
        <v>1800</v>
      </c>
      <c r="R5" s="37">
        <v>2000</v>
      </c>
      <c r="S5" s="37">
        <v>2200</v>
      </c>
      <c r="T5" s="37">
        <v>2400</v>
      </c>
      <c r="U5" s="37">
        <v>2500</v>
      </c>
      <c r="V5" s="37">
        <v>2600</v>
      </c>
      <c r="W5" s="37">
        <v>2700</v>
      </c>
      <c r="X5" s="38">
        <v>2800</v>
      </c>
    </row>
    <row r="6" spans="1:24" ht="13.65" customHeight="1">
      <c r="A6" s="236" t="s">
        <v>31</v>
      </c>
      <c r="B6" s="35" t="s">
        <v>32</v>
      </c>
      <c r="C6" s="39">
        <f t="shared" ref="C6:C11" si="0">G6*0.64</f>
        <v>0.81537269759999986</v>
      </c>
      <c r="D6" s="39">
        <f t="shared" ref="D6:D11" si="1">G6*0.72</f>
        <v>0.91729428479999986</v>
      </c>
      <c r="E6" s="39">
        <f t="shared" ref="E6:E11" si="2">G6*0.8</f>
        <v>1.019215872</v>
      </c>
      <c r="F6" s="39">
        <f t="shared" ref="F6:F11" si="3">G6*0.88</f>
        <v>1.1211374591999999</v>
      </c>
      <c r="G6" s="40">
        <f>IF(ISERROR(VLOOKUP($C$3,車速表!$A:$AE,2,FALSE))=TRUE,0,VLOOKUP($C$3,車速表!$A:$AE,2,FALSE))</f>
        <v>1.2740198399999998</v>
      </c>
      <c r="H6" s="40">
        <f>IF(ISERROR(VLOOKUP($C$3,車速表!$A:$AE,3,FALSE))=TRUE,0,VLOOKUP($C$3,車速表!$A:$AE,3,FALSE))</f>
        <v>1.3271039999999998</v>
      </c>
      <c r="I6" s="40">
        <f>IF(ISERROR(VLOOKUP($C$3,車速表!$A:$AE,4,FALSE))=TRUE,0,VLOOKUP($C$3,車速表!$A:$AE,4,FALSE))</f>
        <v>1.3823999999999999</v>
      </c>
      <c r="J6" s="40">
        <f>IF(ISERROR(VLOOKUP($C$3,車速表!$A:$AE,5,FALSE))=TRUE,0,VLOOKUP($C$3,車速表!$A:$AE,5,FALSE))</f>
        <v>1.44</v>
      </c>
      <c r="K6" s="40">
        <f>IF(ISERROR(VLOOKUP($C$3,車速表!$A:$AE,6,FALSE))=TRUE,0,VLOOKUP($C$3,車速表!$A:$AE,6,FALSE))</f>
        <v>1.5</v>
      </c>
      <c r="N6" s="229" t="s">
        <v>192</v>
      </c>
      <c r="O6" s="41" t="s">
        <v>32</v>
      </c>
      <c r="P6" s="42">
        <f t="shared" ref="P6:P11" si="4">T6*0.64</f>
        <v>0.81537269759999986</v>
      </c>
      <c r="Q6" s="43">
        <f t="shared" ref="Q6:Q11" si="5">T6*0.72</f>
        <v>0.91729428479999986</v>
      </c>
      <c r="R6" s="43">
        <f t="shared" ref="R6:R11" si="6">T6*0.8</f>
        <v>1.019215872</v>
      </c>
      <c r="S6" s="43">
        <f t="shared" ref="S6:S11" si="7">T6*0.88</f>
        <v>1.1211374591999999</v>
      </c>
      <c r="T6" s="44">
        <f>IF(ISERROR(VLOOKUP($C$3,車速表!$A:$AE,2,FALSE))=TRUE,0,VLOOKUP($C$3,車速表!$A:$AE,2,FALSE))</f>
        <v>1.2740198399999998</v>
      </c>
      <c r="U6" s="44">
        <f>IF(ISERROR(VLOOKUP($C$3,車速表!$A:$AE,3,FALSE))=TRUE,0,VLOOKUP($C$3,車速表!$A:$AE,3,FALSE))</f>
        <v>1.3271039999999998</v>
      </c>
      <c r="V6" s="44">
        <f>IF(ISERROR(VLOOKUP($C$3,車速表!$A:$AE,4,FALSE))=TRUE,0,VLOOKUP($C$3,車速表!$A:$AE,4,FALSE))</f>
        <v>1.3823999999999999</v>
      </c>
      <c r="W6" s="44">
        <f>IF(ISERROR(VLOOKUP($C$3,車速表!$A:$AE,5,FALSE))=TRUE,0,VLOOKUP($C$3,車速表!$A:$AE,5,FALSE))</f>
        <v>1.44</v>
      </c>
      <c r="X6" s="45">
        <f>IF(ISERROR(VLOOKUP($C$3,車速表!$A:$AE,6,FALSE))=TRUE,0,VLOOKUP($C$3,車速表!$A:$AE,6,FALSE))</f>
        <v>1.5</v>
      </c>
    </row>
    <row r="7" spans="1:24">
      <c r="A7" s="236"/>
      <c r="B7" s="35" t="s">
        <v>33</v>
      </c>
      <c r="C7" s="40">
        <f t="shared" si="0"/>
        <v>0.9240890572799999</v>
      </c>
      <c r="D7" s="40">
        <f t="shared" si="1"/>
        <v>1.03960018944</v>
      </c>
      <c r="E7" s="40">
        <f t="shared" si="2"/>
        <v>1.1551113216</v>
      </c>
      <c r="F7" s="40">
        <f t="shared" si="3"/>
        <v>1.2706224537599999</v>
      </c>
      <c r="G7" s="40">
        <f>IF(ISERROR(VLOOKUP($C$3,車速表!$A:$AE,7,FALSE))=TRUE,0,VLOOKUP($C$3,車速表!$A:$AE,7,FALSE))</f>
        <v>1.4438891519999999</v>
      </c>
      <c r="H7" s="40">
        <f>IF(ISERROR(VLOOKUP($C$3,車速表!$A:$AE,8,FALSE))=TRUE,0,VLOOKUP($C$3,車速表!$A:$AE,8,FALSE))</f>
        <v>1.5040511999999999</v>
      </c>
      <c r="I7" s="40">
        <f>IF(ISERROR(VLOOKUP($C$3,車速表!$A:$AE,9,FALSE))=TRUE,0,VLOOKUP($C$3,車速表!$A:$AE,9,FALSE))</f>
        <v>1.5667199999999999</v>
      </c>
      <c r="J7" s="40">
        <f>IF(ISERROR(VLOOKUP($C$3,車速表!$A:$AE,10,FALSE))=TRUE,0,VLOOKUP($C$3,車速表!$A:$AE,10,FALSE))</f>
        <v>1.6319999999999999</v>
      </c>
      <c r="K7" s="40">
        <f>IF(ISERROR(VLOOKUP($C$3,車速表!$A:$AE,11,FALSE))=TRUE,0,VLOOKUP($C$3,車速表!$A:$AE,11,FALSE))</f>
        <v>1.7</v>
      </c>
      <c r="N7" s="230"/>
      <c r="O7" s="46" t="s">
        <v>33</v>
      </c>
      <c r="P7" s="47">
        <f t="shared" si="4"/>
        <v>0.9240890572799999</v>
      </c>
      <c r="Q7" s="40">
        <f t="shared" si="5"/>
        <v>1.03960018944</v>
      </c>
      <c r="R7" s="40">
        <f t="shared" si="6"/>
        <v>1.1551113216</v>
      </c>
      <c r="S7" s="40">
        <f t="shared" si="7"/>
        <v>1.2706224537599999</v>
      </c>
      <c r="T7" s="40">
        <f>IF(ISERROR(VLOOKUP($C$3,車速表!$A:$AE,7,FALSE))=TRUE,0,VLOOKUP($C$3,車速表!$A:$AE,7,FALSE))</f>
        <v>1.4438891519999999</v>
      </c>
      <c r="U7" s="40">
        <f>IF(ISERROR(VLOOKUP($C$3,車速表!$A:$AE,8,FALSE))=TRUE,0,VLOOKUP($C$3,車速表!$A:$AE,8,FALSE))</f>
        <v>1.5040511999999999</v>
      </c>
      <c r="V7" s="40">
        <f>IF(ISERROR(VLOOKUP($C$3,車速表!$A:$AE,9,FALSE))=TRUE,0,VLOOKUP($C$3,車速表!$A:$AE,9,FALSE))</f>
        <v>1.5667199999999999</v>
      </c>
      <c r="W7" s="40">
        <f>IF(ISERROR(VLOOKUP($C$3,車速表!$A:$AE,10,FALSE))=TRUE,0,VLOOKUP($C$3,車速表!$A:$AE,10,FALSE))</f>
        <v>1.6319999999999999</v>
      </c>
      <c r="X7" s="48">
        <f>IF(ISERROR(VLOOKUP($C$3,車速表!$A:$AE,11,FALSE))=TRUE,0,VLOOKUP($C$3,車速表!$A:$AE,11,FALSE))</f>
        <v>1.7</v>
      </c>
    </row>
    <row r="8" spans="1:24">
      <c r="A8" s="236"/>
      <c r="B8" s="35" t="s">
        <v>34</v>
      </c>
      <c r="C8" s="40">
        <f t="shared" si="0"/>
        <v>1.1415217766399999</v>
      </c>
      <c r="D8" s="40">
        <f t="shared" si="1"/>
        <v>1.2842119987199998</v>
      </c>
      <c r="E8" s="40">
        <f t="shared" si="2"/>
        <v>1.4269022208</v>
      </c>
      <c r="F8" s="40">
        <f t="shared" si="3"/>
        <v>1.5695924428799999</v>
      </c>
      <c r="G8" s="40">
        <f>IF(ISERROR(VLOOKUP($C$3,車速表!$A:$AE,12,FALSE))=TRUE,0,VLOOKUP($C$3,車速表!$A:$AE,12,FALSE))</f>
        <v>1.7836277759999999</v>
      </c>
      <c r="H8" s="40">
        <f>IF(ISERROR(VLOOKUP($C$3,車速表!$A:$AE,13,FALSE))=TRUE,0,VLOOKUP($C$3,車速表!$A:$AE,13,FALSE))</f>
        <v>1.8579455999999999</v>
      </c>
      <c r="I8" s="40">
        <f>IF(ISERROR(VLOOKUP($C$3,車速表!$A:$AE,14,FALSE))=TRUE,0,VLOOKUP($C$3,車速表!$A:$AE,14,FALSE))</f>
        <v>1.93536</v>
      </c>
      <c r="J8" s="40">
        <f>IF(ISERROR(VLOOKUP($C$3,車速表!$A:$AE,15,FALSE))=TRUE,0,VLOOKUP($C$3,車速表!$A:$AE,15,FALSE))</f>
        <v>2.016</v>
      </c>
      <c r="K8" s="40">
        <f>IF(ISERROR(VLOOKUP($C$3,車速表!$A:$AE,16,FALSE))=TRUE,0,VLOOKUP($C$3,車速表!$A:$AE,16,FALSE))</f>
        <v>2.1</v>
      </c>
      <c r="N8" s="230"/>
      <c r="O8" s="46" t="s">
        <v>34</v>
      </c>
      <c r="P8" s="47">
        <f t="shared" si="4"/>
        <v>1.1415217766399999</v>
      </c>
      <c r="Q8" s="40">
        <f t="shared" si="5"/>
        <v>1.2842119987199998</v>
      </c>
      <c r="R8" s="40">
        <f t="shared" si="6"/>
        <v>1.4269022208</v>
      </c>
      <c r="S8" s="40">
        <f t="shared" si="7"/>
        <v>1.5695924428799999</v>
      </c>
      <c r="T8" s="40">
        <f>IF(ISERROR(VLOOKUP($C$3,車速表!$A:$AE,12,FALSE))=TRUE,0,VLOOKUP($C$3,車速表!$A:$AE,12,FALSE))</f>
        <v>1.7836277759999999</v>
      </c>
      <c r="U8" s="40">
        <f>IF(ISERROR(VLOOKUP($C$3,車速表!$A:$AE,13,FALSE))=TRUE,0,VLOOKUP($C$3,車速表!$A:$AE,13,FALSE))</f>
        <v>1.8579455999999999</v>
      </c>
      <c r="V8" s="40">
        <f>IF(ISERROR(VLOOKUP($C$3,車速表!$A:$AE,14,FALSE))=TRUE,0,VLOOKUP($C$3,車速表!$A:$AE,14,FALSE))</f>
        <v>1.93536</v>
      </c>
      <c r="W8" s="40">
        <f>IF(ISERROR(VLOOKUP($C$3,車速表!$A:$AE,15,FALSE))=TRUE,0,VLOOKUP($C$3,車速表!$A:$AE,15,FALSE))</f>
        <v>2.016</v>
      </c>
      <c r="X8" s="48">
        <f>IF(ISERROR(VLOOKUP($C$3,車速表!$A:$AE,16,FALSE))=TRUE,0,VLOOKUP($C$3,車速表!$A:$AE,16,FALSE))</f>
        <v>2.1</v>
      </c>
    </row>
    <row r="9" spans="1:24">
      <c r="A9" s="236"/>
      <c r="B9" s="35" t="s">
        <v>35</v>
      </c>
      <c r="C9" s="40">
        <f t="shared" si="0"/>
        <v>1.3589544959999997</v>
      </c>
      <c r="D9" s="40">
        <f t="shared" si="1"/>
        <v>1.5288238079999996</v>
      </c>
      <c r="E9" s="40">
        <f t="shared" si="2"/>
        <v>1.6986931199999997</v>
      </c>
      <c r="F9" s="40">
        <f t="shared" si="3"/>
        <v>1.8685624319999996</v>
      </c>
      <c r="G9" s="40">
        <f>IF(ISERROR(VLOOKUP($C$3,車速表!$A:$AE,17,FALSE))=TRUE,0,VLOOKUP($C$3,車速表!$A:$AE,17,FALSE))</f>
        <v>2.1233663999999997</v>
      </c>
      <c r="H9" s="40">
        <f>IF(ISERROR(VLOOKUP($C$3,車速表!$A:$AE,18,FALSE))=TRUE,0,VLOOKUP($C$3,車速表!$A:$AE,18,FALSE))</f>
        <v>2.2118399999999996</v>
      </c>
      <c r="I9" s="40">
        <f>IF(ISERROR(VLOOKUP($C$3,車速表!$A:$AE,19,FALSE))=TRUE,0,VLOOKUP($C$3,車速表!$A:$AE,19,FALSE))</f>
        <v>2.3039999999999998</v>
      </c>
      <c r="J9" s="40">
        <f>IF(ISERROR(VLOOKUP($C$3,車速表!$A:$AE,20,FALSE))=TRUE,0,VLOOKUP($C$3,車速表!$A:$AE,20,FALSE))</f>
        <v>2.4</v>
      </c>
      <c r="K9" s="40">
        <f>IF(ISERROR(VLOOKUP($C$3,車速表!$A:$AE,21,FALSE))=TRUE,0,VLOOKUP($C$3,車速表!$A:$AE,21,FALSE))</f>
        <v>2.5</v>
      </c>
      <c r="N9" s="230"/>
      <c r="O9" s="46" t="s">
        <v>35</v>
      </c>
      <c r="P9" s="47">
        <f t="shared" si="4"/>
        <v>1.3589544959999997</v>
      </c>
      <c r="Q9" s="40">
        <f t="shared" si="5"/>
        <v>1.5288238079999996</v>
      </c>
      <c r="R9" s="40">
        <f t="shared" si="6"/>
        <v>1.6986931199999997</v>
      </c>
      <c r="S9" s="40">
        <f t="shared" si="7"/>
        <v>1.8685624319999996</v>
      </c>
      <c r="T9" s="40">
        <f>IF(ISERROR(VLOOKUP($C$3,車速表!$A:$AE,17,FALSE))=TRUE,0,VLOOKUP($C$3,車速表!$A:$AE,17,FALSE))</f>
        <v>2.1233663999999997</v>
      </c>
      <c r="U9" s="40">
        <f>IF(ISERROR(VLOOKUP($C$3,車速表!$A:$AE,18,FALSE))=TRUE,0,VLOOKUP($C$3,車速表!$A:$AE,18,FALSE))</f>
        <v>2.2118399999999996</v>
      </c>
      <c r="V9" s="40">
        <f>IF(ISERROR(VLOOKUP($C$3,車速表!$A:$AE,19,FALSE))=TRUE,0,VLOOKUP($C$3,車速表!$A:$AE,19,FALSE))</f>
        <v>2.3039999999999998</v>
      </c>
      <c r="W9" s="40">
        <f>IF(ISERROR(VLOOKUP($C$3,車速表!$A:$AE,20,FALSE))=TRUE,0,VLOOKUP($C$3,車速表!$A:$AE,20,FALSE))</f>
        <v>2.4</v>
      </c>
      <c r="X9" s="48">
        <f>IF(ISERROR(VLOOKUP($C$3,車速表!$A:$AE,21,FALSE))=TRUE,0,VLOOKUP($C$3,車速表!$A:$AE,21,FALSE))</f>
        <v>2.5</v>
      </c>
    </row>
    <row r="10" spans="1:24">
      <c r="A10" s="236"/>
      <c r="B10" s="35" t="s">
        <v>36</v>
      </c>
      <c r="C10" s="40">
        <f t="shared" si="0"/>
        <v>1.6851035750399999</v>
      </c>
      <c r="D10" s="40">
        <f t="shared" si="1"/>
        <v>1.8957415219199998</v>
      </c>
      <c r="E10" s="40">
        <f t="shared" si="2"/>
        <v>2.1063794687999997</v>
      </c>
      <c r="F10" s="40">
        <f t="shared" si="3"/>
        <v>2.3170174156799996</v>
      </c>
      <c r="G10" s="40">
        <f>IF(ISERROR(VLOOKUP($C$3,車速表!$A:$AE,22,FALSE))=TRUE,0,VLOOKUP($C$3,車速表!$A:$AE,22,FALSE))</f>
        <v>2.6329743359999997</v>
      </c>
      <c r="H10" s="40">
        <f>IF(ISERROR(VLOOKUP($C$3,車速表!$A:$AE,23,FALSE))=TRUE,0,VLOOKUP($C$3,車速表!$A:$AE,23,FALSE))</f>
        <v>2.7426816000000001</v>
      </c>
      <c r="I10" s="40">
        <f>IF(ISERROR(VLOOKUP($C$3,車速表!$A:$AE,24,FALSE))=TRUE,0,VLOOKUP($C$3,車速表!$A:$AE,24,FALSE))</f>
        <v>2.8569599999999999</v>
      </c>
      <c r="J10" s="40">
        <f>IF(ISERROR(VLOOKUP($C$3,車速表!$A:$AE,25,FALSE))=TRUE,0,VLOOKUP($C$3,車速表!$A:$AE,25,FALSE))</f>
        <v>2.976</v>
      </c>
      <c r="K10" s="40">
        <f>IF(ISERROR(VLOOKUP($C$3,車速表!$A:$AE,26,FALSE))=TRUE,0,VLOOKUP($C$3,車速表!$A:$AE,26,FALSE))</f>
        <v>3.1</v>
      </c>
      <c r="N10" s="231" t="s">
        <v>193</v>
      </c>
      <c r="O10" s="46" t="s">
        <v>36</v>
      </c>
      <c r="P10" s="47">
        <f t="shared" si="4"/>
        <v>1.6851035750399999</v>
      </c>
      <c r="Q10" s="40">
        <f t="shared" si="5"/>
        <v>1.8957415219199998</v>
      </c>
      <c r="R10" s="40">
        <f t="shared" si="6"/>
        <v>2.1063794687999997</v>
      </c>
      <c r="S10" s="40">
        <f t="shared" si="7"/>
        <v>2.3170174156799996</v>
      </c>
      <c r="T10" s="40">
        <f>IF(ISERROR(VLOOKUP($C$3,車速表!$A:$AE,22,FALSE))=TRUE,0,VLOOKUP($C$3,車速表!$A:$AE,22,FALSE))</f>
        <v>2.6329743359999997</v>
      </c>
      <c r="U10" s="40">
        <f>IF(ISERROR(VLOOKUP($C$3,車速表!$A:$AE,23,FALSE))=TRUE,0,VLOOKUP($C$3,車速表!$A:$AE,23,FALSE))</f>
        <v>2.7426816000000001</v>
      </c>
      <c r="V10" s="40">
        <f>IF(ISERROR(VLOOKUP($C$3,車速表!$A:$AE,24,FALSE))=TRUE,0,VLOOKUP($C$3,車速表!$A:$AE,24,FALSE))</f>
        <v>2.8569599999999999</v>
      </c>
      <c r="W10" s="40">
        <f>IF(ISERROR(VLOOKUP($C$3,車速表!$A:$AE,25,FALSE))=TRUE,0,VLOOKUP($C$3,車速表!$A:$AE,25,FALSE))</f>
        <v>2.976</v>
      </c>
      <c r="X10" s="48">
        <f>IF(ISERROR(VLOOKUP($C$3,車速表!$A:$AE,26,FALSE))=TRUE,0,VLOOKUP($C$3,車速表!$A:$AE,26,FALSE))</f>
        <v>3.1</v>
      </c>
    </row>
    <row r="11" spans="1:24" ht="13.8" thickBot="1">
      <c r="A11" s="236"/>
      <c r="B11" s="35" t="s">
        <v>37</v>
      </c>
      <c r="C11" s="39">
        <f t="shared" si="0"/>
        <v>1.9568944742399998</v>
      </c>
      <c r="D11" s="39">
        <f t="shared" si="1"/>
        <v>2.2015062835199997</v>
      </c>
      <c r="E11" s="39">
        <f t="shared" si="2"/>
        <v>2.4461180927999999</v>
      </c>
      <c r="F11" s="39">
        <f t="shared" si="3"/>
        <v>2.6907299020799997</v>
      </c>
      <c r="G11" s="39">
        <f>IF(ISERROR(VLOOKUP($C$3,車速表!$A:$AE,27,FALSE))=TRUE,0,VLOOKUP($C$3,車速表!$A:$AE,27,FALSE))</f>
        <v>3.0576476159999997</v>
      </c>
      <c r="H11" s="39">
        <f>IF(ISERROR(VLOOKUP($C$3,車速表!$A:$AE,28,FALSE))=TRUE,0,VLOOKUP($C$3,車速表!$A:$AE,28,FALSE))</f>
        <v>3.1850495999999997</v>
      </c>
      <c r="I11" s="39">
        <f>IF(ISERROR(VLOOKUP($C$3,車速表!$A:$AE,29,FALSE))=TRUE,0,VLOOKUP($C$3,車速表!$A:$AE,29,FALSE))</f>
        <v>3.3177599999999998</v>
      </c>
      <c r="J11" s="39">
        <f>IF(ISERROR(VLOOKUP($C$3,車速表!$A:$AE,30,FALSE))=TRUE,0,VLOOKUP($C$3,車速表!$A:$AE,30,FALSE))</f>
        <v>3.456</v>
      </c>
      <c r="K11" s="39">
        <f>IF(ISERROR(VLOOKUP($C$3,車速表!$A:$AE,31,FALSE))=TRUE,0,VLOOKUP($C$3,車速表!$A:$AE,31,FALSE))</f>
        <v>3.6</v>
      </c>
      <c r="N11" s="232"/>
      <c r="O11" s="49" t="s">
        <v>37</v>
      </c>
      <c r="P11" s="50">
        <f t="shared" si="4"/>
        <v>1.9568944742399998</v>
      </c>
      <c r="Q11" s="51">
        <f t="shared" si="5"/>
        <v>2.2015062835199997</v>
      </c>
      <c r="R11" s="51">
        <f t="shared" si="6"/>
        <v>2.4461180927999999</v>
      </c>
      <c r="S11" s="51">
        <f t="shared" si="7"/>
        <v>2.6907299020799997</v>
      </c>
      <c r="T11" s="51">
        <f>IF(ISERROR(VLOOKUP($C$3,車速表!$A:$AE,27,FALSE))=TRUE,0,VLOOKUP($C$3,車速表!$A:$AE,27,FALSE))</f>
        <v>3.0576476159999997</v>
      </c>
      <c r="U11" s="51">
        <f>IF(ISERROR(VLOOKUP($C$3,車速表!$A:$AE,28,FALSE))=TRUE,0,VLOOKUP($C$3,車速表!$A:$AE,28,FALSE))</f>
        <v>3.1850495999999997</v>
      </c>
      <c r="V11" s="51">
        <f>IF(ISERROR(VLOOKUP($C$3,車速表!$A:$AE,29,FALSE))=TRUE,0,VLOOKUP($C$3,車速表!$A:$AE,29,FALSE))</f>
        <v>3.3177599999999998</v>
      </c>
      <c r="W11" s="51">
        <f>IF(ISERROR(VLOOKUP($C$3,車速表!$A:$AE,30,FALSE))=TRUE,0,VLOOKUP($C$3,車速表!$A:$AE,30,FALSE))</f>
        <v>3.456</v>
      </c>
      <c r="X11" s="52">
        <f>IF(ISERROR(VLOOKUP($C$3,車速表!$A:$AE,31,FALSE))=TRUE,0,VLOOKUP($C$3,車速表!$A:$AE,31,FALSE))</f>
        <v>3.6</v>
      </c>
    </row>
    <row r="12" spans="1:24" ht="13.8" thickBot="1">
      <c r="A12" s="32"/>
      <c r="B12" s="32"/>
      <c r="C12" s="32"/>
      <c r="D12" s="32"/>
      <c r="E12" s="32"/>
    </row>
    <row r="13" spans="1:24" ht="13.8" thickTop="1">
      <c r="A13" s="243"/>
      <c r="B13" s="243"/>
      <c r="C13" s="243"/>
      <c r="D13" s="243"/>
      <c r="E13" s="243"/>
      <c r="F13" s="243"/>
      <c r="G13" s="243"/>
      <c r="H13" s="243"/>
      <c r="I13" s="243"/>
      <c r="J13" s="243"/>
      <c r="K13" s="243"/>
    </row>
    <row r="14" spans="1:24">
      <c r="A14" s="234" t="s">
        <v>38</v>
      </c>
      <c r="B14" s="234"/>
      <c r="C14" s="234"/>
      <c r="D14" s="234"/>
      <c r="E14" s="234"/>
    </row>
    <row r="16" spans="1:24">
      <c r="A16" s="53" t="s">
        <v>39</v>
      </c>
      <c r="B16" s="54"/>
      <c r="C16" s="35" t="s">
        <v>10</v>
      </c>
      <c r="D16" s="27" t="s">
        <v>40</v>
      </c>
      <c r="E16" s="27" t="s">
        <v>41</v>
      </c>
      <c r="F16" s="27" t="s">
        <v>42</v>
      </c>
      <c r="G16" s="27" t="s">
        <v>43</v>
      </c>
      <c r="I16" s="22" t="s">
        <v>92</v>
      </c>
      <c r="K16" s="17" t="s">
        <v>109</v>
      </c>
    </row>
    <row r="17" spans="1:24">
      <c r="A17" s="253" t="str">
        <f>■散布量計算シート!H15</f>
        <v>Φ1.5</v>
      </c>
      <c r="B17" s="254" t="e">
        <v>#REF!</v>
      </c>
      <c r="C17" s="55">
        <f>■散布量計算シート!I15</f>
        <v>2</v>
      </c>
      <c r="D17" s="55" t="str">
        <f>IF(ISERROR(VLOOKUP($A17,ノズル吐出量,2,FALSE))=TRUE,0,VLOOKUP($A17,ノズル吐出量,2,FALSE))</f>
        <v>2.35</v>
      </c>
      <c r="E17" s="56">
        <f>IF(ISERROR(VLOOKUP($A17,ノズル吐出量,3,FALSE))=TRUE,0,VLOOKUP($A17,ノズル吐出量,3,FALSE))</f>
        <v>2.85</v>
      </c>
      <c r="F17" s="55">
        <f>IF(ISERROR(VLOOKUP($A17,ノズル吐出量,4,FALSE))=TRUE,0,VLOOKUP($A17,ノズル吐出量,4,FALSE))</f>
        <v>3.3</v>
      </c>
      <c r="G17" s="56">
        <f>IF($B$20=1,$C17*D17,IF($B$20=1.5,$C17*E17,IF(B$20=2,$C17*F17,0)))</f>
        <v>5.7</v>
      </c>
      <c r="I17" s="57">
        <f>IF(C3&lt;&gt;0,VLOOKUP(C3,車速表!A:AG,33,FALSE),0)</f>
        <v>95</v>
      </c>
      <c r="J17" s="31" t="s">
        <v>97</v>
      </c>
      <c r="K17" s="57">
        <f>IF(C3&lt;&gt;0,VLOOKUP(C3,車速表!A:AH,34,FALSE),0)</f>
        <v>18</v>
      </c>
    </row>
    <row r="18" spans="1:24">
      <c r="A18" s="253" t="str">
        <f>■散布量計算シート!H16</f>
        <v>Φ1.5</v>
      </c>
      <c r="B18" s="254"/>
      <c r="C18" s="55">
        <f>■散布量計算シート!I16</f>
        <v>12</v>
      </c>
      <c r="D18" s="58" t="str">
        <f>IF(ISERROR(VLOOKUP($A18,ノズル吐出量,2,FALSE))=TRUE,0,VLOOKUP($A18,ノズル吐出量,2,FALSE))</f>
        <v>2.35</v>
      </c>
      <c r="E18" s="59">
        <f>IF(ISERROR(VLOOKUP($A18,ノズル吐出量,3,FALSE))=TRUE,0,VLOOKUP($A18,ノズル吐出量,3,FALSE))</f>
        <v>2.85</v>
      </c>
      <c r="F18" s="58">
        <f>IF(ISERROR(VLOOKUP($A18,ノズル吐出量,4,FALSE))=TRUE,0,VLOOKUP($A18,ノズル吐出量,4,FALSE))</f>
        <v>3.3</v>
      </c>
      <c r="G18" s="56">
        <f>IF($B$20=1,$C18*D18,IF($B$20=1.5,$C18*E18,$C18*F18))</f>
        <v>34.200000000000003</v>
      </c>
      <c r="K18" s="31" t="s">
        <v>123</v>
      </c>
    </row>
    <row r="19" spans="1:24">
      <c r="A19" s="253" t="str">
        <f>■散布量計算シート!H17</f>
        <v>Φ1.2</v>
      </c>
      <c r="B19" s="254"/>
      <c r="C19" s="55">
        <f>■散布量計算シート!I17</f>
        <v>4</v>
      </c>
      <c r="D19" s="60" t="str">
        <f>IF(ISERROR(VLOOKUP($A19,ノズル吐出量,2,FALSE))=TRUE,0,VLOOKUP($A19,ノズル吐出量,2,FALSE))</f>
        <v>1.72</v>
      </c>
      <c r="E19" s="61" t="str">
        <f>IF(ISERROR(VLOOKUP($A19,ノズル吐出量,3,FALSE))=TRUE,0,VLOOKUP($A19,ノズル吐出量,3,FALSE))</f>
        <v>2.10</v>
      </c>
      <c r="F19" s="60">
        <f>IF(ISERROR(VLOOKUP($A19,ノズル吐出量,4,FALSE))=TRUE,0,VLOOKUP($A19,ノズル吐出量,4,FALSE))</f>
        <v>2.37</v>
      </c>
      <c r="G19" s="56">
        <f>IF($B$20=1,$C19*D19,IF($B$20=1.5,$C19*E19,$C19*F19))</f>
        <v>8.4</v>
      </c>
      <c r="I19" s="17" t="s">
        <v>14</v>
      </c>
      <c r="K19" s="57">
        <f>IF(C3&lt;&gt;0,VLOOKUP(C3,車速表!A:AJ,35,FALSE),0)</f>
        <v>727</v>
      </c>
    </row>
    <row r="20" spans="1:24">
      <c r="A20" s="62" t="s">
        <v>16</v>
      </c>
      <c r="B20" s="63">
        <f>■散布量計算シート!D18</f>
        <v>1.5</v>
      </c>
      <c r="C20" s="64">
        <f>SUM(C17:C19)</f>
        <v>18</v>
      </c>
      <c r="D20" s="63"/>
      <c r="E20" s="65"/>
      <c r="F20" s="35" t="s">
        <v>44</v>
      </c>
      <c r="G20" s="66">
        <f>SUM(G17:G19)</f>
        <v>48.300000000000004</v>
      </c>
      <c r="H20" s="67" t="s">
        <v>45</v>
      </c>
      <c r="I20" s="32">
        <f>■散布量計算シート!$D$17</f>
        <v>222</v>
      </c>
      <c r="J20" s="31" t="s">
        <v>46</v>
      </c>
      <c r="K20" s="57">
        <f>IF(C3&lt;&gt;0,VLOOKUP(C3,車速表!A:AJ,36,FALSE),0)</f>
        <v>517</v>
      </c>
      <c r="N20" s="234" t="s">
        <v>149</v>
      </c>
      <c r="O20" s="234"/>
      <c r="P20" s="225" t="str">
        <f>+■散布量計算シート!D14</f>
        <v>モモ</v>
      </c>
      <c r="Q20" s="225"/>
      <c r="R20" s="225"/>
      <c r="S20" s="225"/>
      <c r="U20" s="225" t="s">
        <v>215</v>
      </c>
      <c r="V20" s="225"/>
      <c r="W20" s="17" t="str">
        <f>+■散布量計算シート!D16</f>
        <v>4.5m</v>
      </c>
    </row>
    <row r="21" spans="1:24" ht="13.8" thickBot="1">
      <c r="E21" s="68"/>
    </row>
    <row r="22" spans="1:24" ht="13.8" thickBot="1">
      <c r="A22" s="240" t="s">
        <v>21</v>
      </c>
      <c r="B22" s="240"/>
      <c r="C22" s="55">
        <v>1600</v>
      </c>
      <c r="D22" s="55">
        <v>1800</v>
      </c>
      <c r="E22" s="55">
        <v>2000</v>
      </c>
      <c r="F22" s="55">
        <v>2200</v>
      </c>
      <c r="G22" s="55">
        <v>2400</v>
      </c>
      <c r="H22" s="55">
        <v>2500</v>
      </c>
      <c r="I22" s="55">
        <v>2600</v>
      </c>
      <c r="J22" s="55">
        <v>2700</v>
      </c>
      <c r="K22" s="55">
        <v>2800</v>
      </c>
      <c r="N22" s="251" t="s">
        <v>21</v>
      </c>
      <c r="O22" s="252"/>
      <c r="P22" s="69">
        <v>1600</v>
      </c>
      <c r="Q22" s="70">
        <v>1800</v>
      </c>
      <c r="R22" s="70">
        <v>2000</v>
      </c>
      <c r="S22" s="70">
        <v>2200</v>
      </c>
      <c r="T22" s="70">
        <v>2400</v>
      </c>
      <c r="U22" s="70">
        <v>2500</v>
      </c>
      <c r="V22" s="70">
        <v>2600</v>
      </c>
      <c r="W22" s="70">
        <v>2700</v>
      </c>
      <c r="X22" s="71">
        <v>2800</v>
      </c>
    </row>
    <row r="23" spans="1:24" ht="13.2" customHeight="1">
      <c r="A23" s="235" t="s">
        <v>47</v>
      </c>
      <c r="B23" s="94" t="s">
        <v>32</v>
      </c>
      <c r="C23" s="95">
        <f t="shared" ref="C23:K23" si="8">IF(AND(C6&gt;0,$I$20&gt;0,$G$20&gt;0),$G$20*P23,0)</f>
        <v>789.03304206000462</v>
      </c>
      <c r="D23" s="95">
        <f t="shared" si="8"/>
        <v>701.36270405333732</v>
      </c>
      <c r="E23" s="95">
        <f t="shared" si="8"/>
        <v>631.22643364800365</v>
      </c>
      <c r="F23" s="95">
        <f t="shared" si="8"/>
        <v>573.84221240727607</v>
      </c>
      <c r="G23" s="95">
        <f t="shared" si="8"/>
        <v>504.98114691840289</v>
      </c>
      <c r="H23" s="95">
        <f t="shared" si="8"/>
        <v>484.7819010416668</v>
      </c>
      <c r="I23" s="95">
        <f t="shared" si="8"/>
        <v>465.39062500000011</v>
      </c>
      <c r="J23" s="95">
        <f t="shared" si="8"/>
        <v>446.77500000000003</v>
      </c>
      <c r="K23" s="95">
        <f t="shared" si="8"/>
        <v>428.90400000000005</v>
      </c>
      <c r="N23" s="229" t="s">
        <v>194</v>
      </c>
      <c r="O23" s="73" t="s">
        <v>32</v>
      </c>
      <c r="P23" s="74">
        <f t="shared" ref="P23:X23" si="9">IF(AND(C6&gt;0,$I$20&gt;0,$G$20&gt;0),$I$20*0.06/C6,0)</f>
        <v>16.336087827329287</v>
      </c>
      <c r="Q23" s="75">
        <f t="shared" si="9"/>
        <v>14.520966957626031</v>
      </c>
      <c r="R23" s="75">
        <f t="shared" si="9"/>
        <v>13.068870261863427</v>
      </c>
      <c r="S23" s="75">
        <f t="shared" si="9"/>
        <v>11.880791147148571</v>
      </c>
      <c r="T23" s="75">
        <f t="shared" si="9"/>
        <v>10.455096209490742</v>
      </c>
      <c r="U23" s="75">
        <f t="shared" si="9"/>
        <v>10.036892361111112</v>
      </c>
      <c r="V23" s="75">
        <f t="shared" si="9"/>
        <v>9.6354166666666679</v>
      </c>
      <c r="W23" s="75">
        <f t="shared" si="9"/>
        <v>9.25</v>
      </c>
      <c r="X23" s="76">
        <f t="shared" si="9"/>
        <v>8.8800000000000008</v>
      </c>
    </row>
    <row r="24" spans="1:24">
      <c r="A24" s="236"/>
      <c r="B24" s="35" t="s">
        <v>33</v>
      </c>
      <c r="C24" s="72">
        <f t="shared" ref="C24:J28" si="10">IF(AND(C7&gt;0,$I$20&gt;0,$G$20&gt;0),$G$20*P24,0)</f>
        <v>696.20562534706278</v>
      </c>
      <c r="D24" s="72">
        <f t="shared" si="10"/>
        <v>618.84944475294469</v>
      </c>
      <c r="E24" s="72">
        <f t="shared" si="10"/>
        <v>556.96450027765025</v>
      </c>
      <c r="F24" s="72">
        <f t="shared" si="10"/>
        <v>506.3313638887729</v>
      </c>
      <c r="G24" s="72">
        <f t="shared" si="10"/>
        <v>445.57160022212014</v>
      </c>
      <c r="H24" s="72">
        <f t="shared" si="10"/>
        <v>427.74873621323542</v>
      </c>
      <c r="I24" s="72">
        <f t="shared" si="10"/>
        <v>410.63878676470591</v>
      </c>
      <c r="J24" s="72">
        <f t="shared" si="10"/>
        <v>394.21323529411768</v>
      </c>
      <c r="K24" s="72">
        <f t="shared" ref="K24:K28" si="11">IF(AND(K7&gt;0,$I$20&gt;0,$G$20&gt;0),$G$20*X24,0)</f>
        <v>378.44470588235299</v>
      </c>
      <c r="N24" s="230"/>
      <c r="O24" s="53" t="s">
        <v>33</v>
      </c>
      <c r="P24" s="77">
        <f t="shared" ref="P24:W28" si="12">IF(AND(C7&gt;0,$I$20&gt;0,$G$20&gt;0),$I$20*0.06/C7,0)</f>
        <v>14.414195141761134</v>
      </c>
      <c r="Q24" s="78">
        <f t="shared" si="12"/>
        <v>12.812617903787674</v>
      </c>
      <c r="R24" s="78">
        <f t="shared" si="12"/>
        <v>11.531356113408906</v>
      </c>
      <c r="S24" s="78">
        <f t="shared" si="12"/>
        <v>10.483051012189915</v>
      </c>
      <c r="T24" s="78">
        <f t="shared" si="12"/>
        <v>9.2250848907271248</v>
      </c>
      <c r="U24" s="78">
        <f t="shared" si="12"/>
        <v>8.8560814950980404</v>
      </c>
      <c r="V24" s="78">
        <f t="shared" si="12"/>
        <v>8.5018382352941178</v>
      </c>
      <c r="W24" s="78">
        <f t="shared" si="12"/>
        <v>8.1617647058823533</v>
      </c>
      <c r="X24" s="79">
        <f t="shared" ref="X24:X28" si="13">IF(AND(K7&gt;0,$I$20&gt;0,$G$20&gt;0),$I$20*0.06/K7,0)</f>
        <v>7.8352941176470594</v>
      </c>
    </row>
    <row r="25" spans="1:24">
      <c r="A25" s="236"/>
      <c r="B25" s="35" t="s">
        <v>34</v>
      </c>
      <c r="C25" s="72">
        <f t="shared" si="10"/>
        <v>563.59503004286034</v>
      </c>
      <c r="D25" s="72">
        <f t="shared" si="10"/>
        <v>500.97336003809812</v>
      </c>
      <c r="E25" s="72">
        <f t="shared" si="10"/>
        <v>450.87602403428826</v>
      </c>
      <c r="F25" s="72">
        <f t="shared" si="10"/>
        <v>409.88729457662566</v>
      </c>
      <c r="G25" s="72">
        <f t="shared" si="10"/>
        <v>360.7008192274306</v>
      </c>
      <c r="H25" s="72">
        <f t="shared" si="10"/>
        <v>346.27278645833337</v>
      </c>
      <c r="I25" s="72">
        <f t="shared" si="10"/>
        <v>332.42187500000006</v>
      </c>
      <c r="J25" s="72">
        <f t="shared" si="10"/>
        <v>319.12500000000006</v>
      </c>
      <c r="K25" s="72">
        <f t="shared" si="11"/>
        <v>306.36</v>
      </c>
      <c r="N25" s="230"/>
      <c r="O25" s="53" t="s">
        <v>34</v>
      </c>
      <c r="P25" s="77">
        <f t="shared" si="12"/>
        <v>11.66863416237806</v>
      </c>
      <c r="Q25" s="78">
        <f t="shared" si="12"/>
        <v>10.372119255447165</v>
      </c>
      <c r="R25" s="78">
        <f t="shared" si="12"/>
        <v>9.3349073299024479</v>
      </c>
      <c r="S25" s="78">
        <f t="shared" si="12"/>
        <v>8.4862793908204068</v>
      </c>
      <c r="T25" s="78">
        <f t="shared" si="12"/>
        <v>7.4679258639219581</v>
      </c>
      <c r="U25" s="78">
        <f t="shared" si="12"/>
        <v>7.16920882936508</v>
      </c>
      <c r="V25" s="78">
        <f t="shared" si="12"/>
        <v>6.8824404761904763</v>
      </c>
      <c r="W25" s="78">
        <f t="shared" si="12"/>
        <v>6.6071428571428577</v>
      </c>
      <c r="X25" s="79">
        <f t="shared" si="13"/>
        <v>6.3428571428571425</v>
      </c>
    </row>
    <row r="26" spans="1:24">
      <c r="A26" s="236"/>
      <c r="B26" s="35" t="s">
        <v>35</v>
      </c>
      <c r="C26" s="72">
        <f t="shared" si="10"/>
        <v>473.41982523600274</v>
      </c>
      <c r="D26" s="72">
        <f t="shared" si="10"/>
        <v>420.81762243200245</v>
      </c>
      <c r="E26" s="72">
        <f t="shared" si="10"/>
        <v>378.73586018880218</v>
      </c>
      <c r="F26" s="72">
        <f t="shared" si="10"/>
        <v>344.30532744436562</v>
      </c>
      <c r="G26" s="72">
        <f t="shared" si="10"/>
        <v>302.98868815104174</v>
      </c>
      <c r="H26" s="72">
        <f t="shared" si="10"/>
        <v>290.86914062500006</v>
      </c>
      <c r="I26" s="72">
        <f t="shared" si="10"/>
        <v>279.23437500000006</v>
      </c>
      <c r="J26" s="72">
        <f t="shared" si="10"/>
        <v>268.06500000000005</v>
      </c>
      <c r="K26" s="72">
        <f t="shared" si="11"/>
        <v>257.34240000000005</v>
      </c>
      <c r="N26" s="230"/>
      <c r="O26" s="53" t="s">
        <v>35</v>
      </c>
      <c r="P26" s="77">
        <f t="shared" si="12"/>
        <v>9.8016526963975714</v>
      </c>
      <c r="Q26" s="78">
        <f t="shared" si="12"/>
        <v>8.7125801745756188</v>
      </c>
      <c r="R26" s="78">
        <f t="shared" si="12"/>
        <v>7.8413221571180571</v>
      </c>
      <c r="S26" s="78">
        <f t="shared" si="12"/>
        <v>7.1284746882891428</v>
      </c>
      <c r="T26" s="78">
        <f t="shared" si="12"/>
        <v>6.2730577256944455</v>
      </c>
      <c r="U26" s="78">
        <f t="shared" si="12"/>
        <v>6.0221354166666679</v>
      </c>
      <c r="V26" s="78">
        <f t="shared" si="12"/>
        <v>5.7812500000000009</v>
      </c>
      <c r="W26" s="78">
        <f t="shared" si="12"/>
        <v>5.5500000000000007</v>
      </c>
      <c r="X26" s="79">
        <f t="shared" si="13"/>
        <v>5.3280000000000003</v>
      </c>
    </row>
    <row r="27" spans="1:24">
      <c r="A27" s="236"/>
      <c r="B27" s="35" t="s">
        <v>36</v>
      </c>
      <c r="C27" s="72">
        <f t="shared" si="10"/>
        <v>381.79018164193764</v>
      </c>
      <c r="D27" s="72">
        <f t="shared" si="10"/>
        <v>339.36905034838907</v>
      </c>
      <c r="E27" s="72">
        <f t="shared" si="10"/>
        <v>305.43214531355017</v>
      </c>
      <c r="F27" s="72">
        <f t="shared" si="10"/>
        <v>277.66558664868194</v>
      </c>
      <c r="G27" s="72">
        <f t="shared" si="10"/>
        <v>244.3457162508401</v>
      </c>
      <c r="H27" s="72">
        <f t="shared" si="10"/>
        <v>234.57188760080646</v>
      </c>
      <c r="I27" s="72">
        <f t="shared" si="10"/>
        <v>225.18901209677421</v>
      </c>
      <c r="J27" s="72">
        <f t="shared" si="10"/>
        <v>216.18145161290323</v>
      </c>
      <c r="K27" s="72">
        <f t="shared" si="11"/>
        <v>207.53419354838712</v>
      </c>
      <c r="N27" s="233" t="s">
        <v>195</v>
      </c>
      <c r="O27" s="53" t="s">
        <v>36</v>
      </c>
      <c r="P27" s="77">
        <f t="shared" si="12"/>
        <v>7.9045586261270726</v>
      </c>
      <c r="Q27" s="78">
        <f t="shared" si="12"/>
        <v>7.0262743343351763</v>
      </c>
      <c r="R27" s="78">
        <f t="shared" si="12"/>
        <v>6.3236469009016592</v>
      </c>
      <c r="S27" s="78">
        <f t="shared" si="12"/>
        <v>5.7487699099105987</v>
      </c>
      <c r="T27" s="78">
        <f t="shared" si="12"/>
        <v>5.0589175207213266</v>
      </c>
      <c r="U27" s="78">
        <f t="shared" si="12"/>
        <v>4.856560819892473</v>
      </c>
      <c r="V27" s="78">
        <f t="shared" si="12"/>
        <v>4.662298387096774</v>
      </c>
      <c r="W27" s="78">
        <f t="shared" si="12"/>
        <v>4.475806451612903</v>
      </c>
      <c r="X27" s="79">
        <f t="shared" si="13"/>
        <v>4.2967741935483872</v>
      </c>
    </row>
    <row r="28" spans="1:24" ht="14.25" customHeight="1" thickBot="1">
      <c r="A28" s="237"/>
      <c r="B28" s="92" t="s">
        <v>37</v>
      </c>
      <c r="C28" s="93">
        <f t="shared" si="10"/>
        <v>328.76376752500187</v>
      </c>
      <c r="D28" s="93">
        <f t="shared" si="10"/>
        <v>292.23446002222391</v>
      </c>
      <c r="E28" s="93">
        <f t="shared" si="10"/>
        <v>263.01101402000148</v>
      </c>
      <c r="F28" s="93">
        <f t="shared" si="10"/>
        <v>239.10092183636499</v>
      </c>
      <c r="G28" s="93">
        <f t="shared" si="10"/>
        <v>210.40881121600123</v>
      </c>
      <c r="H28" s="93">
        <f t="shared" si="10"/>
        <v>201.99245876736114</v>
      </c>
      <c r="I28" s="93">
        <f t="shared" si="10"/>
        <v>193.91276041666669</v>
      </c>
      <c r="J28" s="93">
        <f t="shared" si="10"/>
        <v>186.15625000000003</v>
      </c>
      <c r="K28" s="93">
        <f t="shared" si="11"/>
        <v>178.71000000000004</v>
      </c>
      <c r="N28" s="232"/>
      <c r="O28" s="80" t="s">
        <v>37</v>
      </c>
      <c r="P28" s="81">
        <f t="shared" si="12"/>
        <v>6.8067032613872014</v>
      </c>
      <c r="Q28" s="82">
        <f t="shared" si="12"/>
        <v>6.0504028990108463</v>
      </c>
      <c r="R28" s="82">
        <f t="shared" si="12"/>
        <v>5.4453626091097611</v>
      </c>
      <c r="S28" s="82">
        <f t="shared" si="12"/>
        <v>4.9503296446452376</v>
      </c>
      <c r="T28" s="82">
        <f t="shared" si="12"/>
        <v>4.3562900872878094</v>
      </c>
      <c r="U28" s="82">
        <f t="shared" si="12"/>
        <v>4.1820384837962967</v>
      </c>
      <c r="V28" s="82">
        <f t="shared" si="12"/>
        <v>4.0147569444444446</v>
      </c>
      <c r="W28" s="82">
        <f t="shared" si="12"/>
        <v>3.854166666666667</v>
      </c>
      <c r="X28" s="83">
        <f t="shared" si="13"/>
        <v>3.7</v>
      </c>
    </row>
    <row r="29" spans="1:24" ht="16.5" customHeight="1">
      <c r="A29" s="246" t="s">
        <v>122</v>
      </c>
      <c r="B29" s="247"/>
      <c r="C29" s="91">
        <f>D29*1600/1800</f>
        <v>46.14285714285716</v>
      </c>
      <c r="D29" s="91">
        <f>E29*1800/2000</f>
        <v>51.910714285714299</v>
      </c>
      <c r="E29" s="91">
        <f>F29*2000/2200</f>
        <v>57.678571428571438</v>
      </c>
      <c r="F29" s="91">
        <f>G29*2200/2400</f>
        <v>63.446428571428577</v>
      </c>
      <c r="G29" s="91">
        <f>IF(H23=0,IF(G23&gt;0,$I$17*0.85,0),H29*2400/2500)</f>
        <v>69.214285714285722</v>
      </c>
      <c r="H29" s="91">
        <f>IF(I23=0,IF(H23&gt;0,$I$17*0.85,0),I29*2500/2600)</f>
        <v>72.098214285714292</v>
      </c>
      <c r="I29" s="91">
        <f>IF(J23=0,IF(I23&gt;0,$I$17*0.85,0),J29*2600/2700)</f>
        <v>74.982142857142861</v>
      </c>
      <c r="J29" s="91">
        <f>IF(K23=0,IF(J23&gt;0,$I$17*0.85,0),K29*2700/2800)</f>
        <v>77.866071428571431</v>
      </c>
      <c r="K29" s="91">
        <f>IF(K23&gt;0,$I$17*0.85,0)</f>
        <v>80.75</v>
      </c>
    </row>
    <row r="30" spans="1:24" ht="16.5" customHeight="1">
      <c r="A30" s="32"/>
      <c r="B30" s="89" t="s">
        <v>120</v>
      </c>
      <c r="C30" s="84">
        <f>D30*1600/1800</f>
        <v>415.42857142857144</v>
      </c>
      <c r="D30" s="84">
        <f>E30*1800/2000</f>
        <v>467.35714285714289</v>
      </c>
      <c r="E30" s="84">
        <f>F30*2000/2200</f>
        <v>519.28571428571433</v>
      </c>
      <c r="F30" s="84">
        <f>G30*2200/2400</f>
        <v>571.21428571428578</v>
      </c>
      <c r="G30" s="84">
        <f>IF(H23=0,IF(G23&gt;0,K19,0),H30*2400/2500)</f>
        <v>623.14285714285722</v>
      </c>
      <c r="H30" s="84">
        <f>IF(I23=0,IF(H23&gt;0,K19,0),I30*2500/2600)</f>
        <v>649.10714285714289</v>
      </c>
      <c r="I30" s="84">
        <f>IF(J23=0,IF(I23&gt;0,K19,0),J30*2600/2700)</f>
        <v>675.07142857142867</v>
      </c>
      <c r="J30" s="84">
        <f>IF(K23=0,IF(J23&gt;0,K19,0),K30*2700/2800)</f>
        <v>701.03571428571433</v>
      </c>
      <c r="K30" s="88">
        <f>IF(K23&gt;0,K19,0)</f>
        <v>727</v>
      </c>
    </row>
    <row r="31" spans="1:24" ht="15.75" customHeight="1" thickBot="1">
      <c r="A31" s="32"/>
      <c r="B31" s="90" t="s">
        <v>121</v>
      </c>
      <c r="C31" s="84">
        <f>D31*1600/1800</f>
        <v>295.42857142857144</v>
      </c>
      <c r="D31" s="84">
        <f>E31*1800/2000</f>
        <v>332.35714285714289</v>
      </c>
      <c r="E31" s="84">
        <f>F31*2000/2200</f>
        <v>369.28571428571433</v>
      </c>
      <c r="F31" s="84">
        <f>G31*2200/2400</f>
        <v>406.21428571428572</v>
      </c>
      <c r="G31" s="84">
        <f>IF(H23=0,IF(G23&gt;0,K20,0),H31*2400/2500)</f>
        <v>443.14285714285711</v>
      </c>
      <c r="H31" s="84">
        <f>IF(I23=0,IF(H23&gt;0,K20,0),I31*2500/2600)</f>
        <v>461.60714285714283</v>
      </c>
      <c r="I31" s="84">
        <f>IF(J23=0,IF(I23&gt;0,K20,0),J31*2600/2700)</f>
        <v>480.07142857142856</v>
      </c>
      <c r="J31" s="84">
        <f>IF(K23=0,IF(J23&gt;0,K20,0),K31*2700/2800)</f>
        <v>498.53571428571428</v>
      </c>
      <c r="K31" s="85">
        <f>IF(K23&gt;0,K20,0)</f>
        <v>517</v>
      </c>
    </row>
    <row r="32" spans="1:24" ht="13.8" thickTop="1">
      <c r="A32" s="243"/>
      <c r="B32" s="243"/>
      <c r="C32" s="243"/>
      <c r="D32" s="243"/>
      <c r="E32" s="243"/>
      <c r="F32" s="243"/>
      <c r="G32" s="243"/>
      <c r="H32" s="243"/>
      <c r="I32" s="243"/>
      <c r="J32" s="243"/>
    </row>
    <row r="33" spans="1:24">
      <c r="A33" s="234" t="s">
        <v>48</v>
      </c>
      <c r="B33" s="234"/>
      <c r="C33" s="234"/>
      <c r="D33" s="234"/>
      <c r="E33" s="234"/>
    </row>
    <row r="35" spans="1:24">
      <c r="A35" s="53" t="s">
        <v>39</v>
      </c>
      <c r="B35" s="54"/>
      <c r="C35" s="35" t="s">
        <v>10</v>
      </c>
      <c r="D35" s="27" t="s">
        <v>40</v>
      </c>
      <c r="E35" s="27" t="s">
        <v>41</v>
      </c>
      <c r="F35" s="27" t="s">
        <v>42</v>
      </c>
      <c r="G35" s="27" t="s">
        <v>43</v>
      </c>
      <c r="I35" s="22" t="s">
        <v>92</v>
      </c>
      <c r="K35" s="17" t="s">
        <v>109</v>
      </c>
    </row>
    <row r="36" spans="1:24">
      <c r="A36" s="244" t="str">
        <f>■散布量計算シート!H38</f>
        <v>オレンジ</v>
      </c>
      <c r="B36" s="245"/>
      <c r="C36" s="55">
        <f>■散布量計算シート!I38</f>
        <v>14</v>
      </c>
      <c r="D36" s="55" t="str">
        <f>IF(ISERROR(VLOOKUP($A36,ノズル吐出量,2,FALSE))=TRUE,0,VLOOKUP($A36,ノズル吐出量,2,FALSE))</f>
        <v>1.34</v>
      </c>
      <c r="E36" s="56">
        <f>IF(ISERROR(VLOOKUP($A36,ノズル吐出量,3,FALSE))=TRUE,0,VLOOKUP($A36,ノズル吐出量,3,FALSE))</f>
        <v>1.62</v>
      </c>
      <c r="F36" s="55">
        <f>IF(ISERROR(VLOOKUP($A36,ノズル吐出量,4,FALSE))=TRUE,0,VLOOKUP($A36,ノズル吐出量,4,FALSE))</f>
        <v>1.85</v>
      </c>
      <c r="G36" s="56">
        <f>IF($B$39=1,$C36*D36,IF($B$39=1.5,$C36*E36,IF(B$39=2,$C36*F36,0)))</f>
        <v>22.68</v>
      </c>
      <c r="I36" s="57">
        <f>IF(C3&lt;&gt;0,VLOOKUP(C3,車速表!A:AG,33,FALSE),0)</f>
        <v>95</v>
      </c>
      <c r="J36" s="31" t="s">
        <v>97</v>
      </c>
      <c r="K36" s="57">
        <f>IF(C3&lt;&gt;0,VLOOKUP(C3,車速表!A:AH,34,FALSE),0)</f>
        <v>18</v>
      </c>
    </row>
    <row r="37" spans="1:24">
      <c r="A37" s="241" t="str">
        <f>■散布量計算シート!H39</f>
        <v>Φ1.2</v>
      </c>
      <c r="B37" s="242"/>
      <c r="C37" s="58">
        <f>■散布量計算シート!I39</f>
        <v>4</v>
      </c>
      <c r="D37" s="58" t="str">
        <f>IF(ISERROR(VLOOKUP($A37,ノズル吐出量,2,FALSE))=TRUE,0,VLOOKUP($A37,ノズル吐出量,2,FALSE))</f>
        <v>1.72</v>
      </c>
      <c r="E37" s="59" t="str">
        <f>IF(ISERROR(VLOOKUP($A37,ノズル吐出量,3,FALSE))=TRUE,0,VLOOKUP($A37,ノズル吐出量,3,FALSE))</f>
        <v>2.10</v>
      </c>
      <c r="F37" s="58">
        <f>IF(ISERROR(VLOOKUP($A37,ノズル吐出量,4,FALSE))=TRUE,0,VLOOKUP($A37,ノズル吐出量,4,FALSE))</f>
        <v>2.37</v>
      </c>
      <c r="G37" s="56">
        <f>IF($B$39=1,$C37*D37,IF($B$39=1.5,$C37*E37,$C37*F37))</f>
        <v>8.4</v>
      </c>
      <c r="K37" s="31" t="s">
        <v>123</v>
      </c>
    </row>
    <row r="38" spans="1:24">
      <c r="A38" s="238">
        <f>■散布量計算シート!H40</f>
        <v>0</v>
      </c>
      <c r="B38" s="239"/>
      <c r="C38" s="60">
        <f>■散布量計算シート!I40</f>
        <v>0</v>
      </c>
      <c r="D38" s="60">
        <f>IF(ISERROR(VLOOKUP($A38,ノズル吐出量,2,FALSE))=TRUE,0,VLOOKUP($A38,ノズル吐出量,2,FALSE))</f>
        <v>0</v>
      </c>
      <c r="E38" s="61">
        <f>IF(ISERROR(VLOOKUP($A38,ノズル吐出量,3,FALSE))=TRUE,0,VLOOKUP($A38,ノズル吐出量,3,FALSE))</f>
        <v>0</v>
      </c>
      <c r="F38" s="60">
        <f>IF(ISERROR(VLOOKUP($A38,ノズル吐出量,4,FALSE))=TRUE,0,VLOOKUP($A38,ノズル吐出量,4,FALSE))</f>
        <v>0</v>
      </c>
      <c r="G38" s="56">
        <f>IF($B$39=1,$C38*D38,IF($B$39=1.5,$C38*E38,$C38*F38))</f>
        <v>0</v>
      </c>
      <c r="I38" s="17" t="s">
        <v>14</v>
      </c>
      <c r="K38" s="57">
        <f>IF(C3&lt;&gt;0,VLOOKUP(C3,車速表!A:AJ,35,FALSE),0)</f>
        <v>727</v>
      </c>
    </row>
    <row r="39" spans="1:24">
      <c r="A39" s="62" t="s">
        <v>16</v>
      </c>
      <c r="B39" s="86">
        <f>■散布量計算シート!D41</f>
        <v>1.5</v>
      </c>
      <c r="C39" s="64">
        <f>SUM(C36:C38)</f>
        <v>18</v>
      </c>
      <c r="D39" s="63"/>
      <c r="E39" s="65"/>
      <c r="F39" s="35" t="s">
        <v>44</v>
      </c>
      <c r="G39" s="66">
        <f>SUM(G36:G38)</f>
        <v>31.08</v>
      </c>
      <c r="H39" s="67" t="s">
        <v>45</v>
      </c>
      <c r="I39" s="32">
        <f>■散布量計算シート!$D$40</f>
        <v>154</v>
      </c>
      <c r="J39" s="31" t="s">
        <v>46</v>
      </c>
      <c r="K39" s="57">
        <f>IF(C3&lt;&gt;0,VLOOKUP(C3,車速表!A:AJ,36,FALSE),0)</f>
        <v>517</v>
      </c>
      <c r="N39" s="234" t="s">
        <v>150</v>
      </c>
      <c r="O39" s="234"/>
      <c r="P39" s="225" t="str">
        <f>+■散布量計算シート!D37</f>
        <v>ブドウ</v>
      </c>
      <c r="Q39" s="225"/>
      <c r="R39" s="225"/>
      <c r="S39" s="225"/>
      <c r="U39" s="225" t="s">
        <v>215</v>
      </c>
      <c r="V39" s="225"/>
      <c r="W39" s="17" t="str">
        <f>+■散布量計算シート!D39</f>
        <v>6.5m</v>
      </c>
    </row>
    <row r="40" spans="1:24" ht="13.8" thickBot="1">
      <c r="E40" s="68"/>
    </row>
    <row r="41" spans="1:24" ht="13.8" thickBot="1">
      <c r="A41" s="240" t="s">
        <v>21</v>
      </c>
      <c r="B41" s="240"/>
      <c r="C41" s="55">
        <v>1600</v>
      </c>
      <c r="D41" s="55">
        <v>1800</v>
      </c>
      <c r="E41" s="55">
        <v>2000</v>
      </c>
      <c r="F41" s="55">
        <v>2200</v>
      </c>
      <c r="G41" s="55">
        <v>2400</v>
      </c>
      <c r="H41" s="55">
        <v>2500</v>
      </c>
      <c r="I41" s="55">
        <v>2600</v>
      </c>
      <c r="J41" s="55">
        <v>2700</v>
      </c>
      <c r="K41" s="55">
        <v>2800</v>
      </c>
      <c r="N41" s="251" t="s">
        <v>21</v>
      </c>
      <c r="O41" s="255"/>
      <c r="P41" s="148">
        <v>1600</v>
      </c>
      <c r="Q41" s="148">
        <v>1800</v>
      </c>
      <c r="R41" s="148">
        <v>2000</v>
      </c>
      <c r="S41" s="148">
        <v>2200</v>
      </c>
      <c r="T41" s="148">
        <v>2400</v>
      </c>
      <c r="U41" s="148">
        <v>2500</v>
      </c>
      <c r="V41" s="148">
        <v>2600</v>
      </c>
      <c r="W41" s="148">
        <v>2700</v>
      </c>
      <c r="X41" s="144">
        <v>2800</v>
      </c>
    </row>
    <row r="42" spans="1:24" ht="13.2" customHeight="1">
      <c r="A42" s="235" t="s">
        <v>47</v>
      </c>
      <c r="B42" s="94" t="s">
        <v>32</v>
      </c>
      <c r="C42" s="95">
        <f t="shared" ref="C42:K47" si="14">IF(AND(C6&gt;0,$I$39&gt;0,$G$39&gt;0),$G$39*P42,0)</f>
        <v>352.20605355721938</v>
      </c>
      <c r="D42" s="95">
        <f t="shared" si="14"/>
        <v>313.07204760641719</v>
      </c>
      <c r="E42" s="95">
        <f t="shared" si="14"/>
        <v>281.76484284577549</v>
      </c>
      <c r="F42" s="95">
        <f t="shared" si="14"/>
        <v>256.14985713252315</v>
      </c>
      <c r="G42" s="95">
        <f t="shared" si="14"/>
        <v>225.41187427662038</v>
      </c>
      <c r="H42" s="95">
        <f t="shared" si="14"/>
        <v>216.39539930555557</v>
      </c>
      <c r="I42" s="95">
        <f t="shared" si="14"/>
        <v>207.73958333333334</v>
      </c>
      <c r="J42" s="95">
        <f t="shared" si="14"/>
        <v>199.43</v>
      </c>
      <c r="K42" s="95">
        <f t="shared" si="14"/>
        <v>191.4528</v>
      </c>
      <c r="N42" s="229" t="s">
        <v>194</v>
      </c>
      <c r="O42" s="149" t="s">
        <v>32</v>
      </c>
      <c r="P42" s="146">
        <f t="shared" ref="P42:X42" si="15">IF(AND(C6&gt;0,$I$39&gt;0,$G$39&gt;0),$I$39*0.06/C6,0)</f>
        <v>11.332241105444639</v>
      </c>
      <c r="Q42" s="146">
        <f t="shared" si="15"/>
        <v>10.073103204839679</v>
      </c>
      <c r="R42" s="146">
        <f t="shared" si="15"/>
        <v>9.0657928843557105</v>
      </c>
      <c r="S42" s="146">
        <f t="shared" si="15"/>
        <v>8.2416298948688276</v>
      </c>
      <c r="T42" s="146">
        <f t="shared" si="15"/>
        <v>7.2526343074845689</v>
      </c>
      <c r="U42" s="146">
        <f t="shared" si="15"/>
        <v>6.962528935185186</v>
      </c>
      <c r="V42" s="146">
        <f t="shared" si="15"/>
        <v>6.6840277777777786</v>
      </c>
      <c r="W42" s="146">
        <f t="shared" si="15"/>
        <v>6.416666666666667</v>
      </c>
      <c r="X42" s="147">
        <f t="shared" si="15"/>
        <v>6.16</v>
      </c>
    </row>
    <row r="43" spans="1:24">
      <c r="A43" s="236"/>
      <c r="B43" s="35" t="s">
        <v>33</v>
      </c>
      <c r="C43" s="72">
        <f t="shared" si="14"/>
        <v>310.77004725637005</v>
      </c>
      <c r="D43" s="72">
        <f t="shared" si="14"/>
        <v>276.24004200566225</v>
      </c>
      <c r="E43" s="72">
        <f t="shared" si="14"/>
        <v>248.616037805096</v>
      </c>
      <c r="F43" s="72">
        <f t="shared" si="14"/>
        <v>226.01457982281454</v>
      </c>
      <c r="G43" s="72">
        <f t="shared" si="14"/>
        <v>198.89283024407681</v>
      </c>
      <c r="H43" s="72">
        <f t="shared" si="14"/>
        <v>190.93711703431373</v>
      </c>
      <c r="I43" s="72">
        <f t="shared" si="14"/>
        <v>183.29963235294119</v>
      </c>
      <c r="J43" s="72">
        <f t="shared" si="14"/>
        <v>175.96764705882353</v>
      </c>
      <c r="K43" s="72">
        <f t="shared" si="14"/>
        <v>168.92894117647057</v>
      </c>
      <c r="N43" s="230"/>
      <c r="O43" s="145" t="s">
        <v>33</v>
      </c>
      <c r="P43" s="78">
        <f t="shared" ref="P43:W47" si="16">IF(AND(C7&gt;0,$I$39&gt;0,$G$39&gt;0),$I$39*0.06/C7,0)</f>
        <v>9.9990362695099755</v>
      </c>
      <c r="Q43" s="78">
        <f t="shared" si="16"/>
        <v>8.8880322395644225</v>
      </c>
      <c r="R43" s="78">
        <f t="shared" si="16"/>
        <v>7.9992290156079795</v>
      </c>
      <c r="S43" s="78">
        <f t="shared" si="16"/>
        <v>7.2720263778254361</v>
      </c>
      <c r="T43" s="78">
        <f t="shared" si="16"/>
        <v>6.3993832124863843</v>
      </c>
      <c r="U43" s="78">
        <f t="shared" si="16"/>
        <v>6.1434078839869288</v>
      </c>
      <c r="V43" s="78">
        <f t="shared" si="16"/>
        <v>5.8976715686274517</v>
      </c>
      <c r="W43" s="78">
        <f t="shared" si="16"/>
        <v>5.6617647058823533</v>
      </c>
      <c r="X43" s="79">
        <f t="shared" ref="X43:X47" si="17">IF(AND(K7&gt;0,$I$39&gt;0,$G$39&gt;0),$I$39*0.06/K7,0)</f>
        <v>5.4352941176470591</v>
      </c>
    </row>
    <row r="44" spans="1:24">
      <c r="A44" s="236"/>
      <c r="B44" s="35" t="s">
        <v>34</v>
      </c>
      <c r="C44" s="72">
        <f t="shared" si="14"/>
        <v>251.57575254087095</v>
      </c>
      <c r="D44" s="72">
        <f t="shared" si="14"/>
        <v>223.62289114744087</v>
      </c>
      <c r="E44" s="72">
        <f t="shared" si="14"/>
        <v>201.26060203269677</v>
      </c>
      <c r="F44" s="72">
        <f t="shared" si="14"/>
        <v>182.96418366608799</v>
      </c>
      <c r="G44" s="72">
        <f t="shared" si="14"/>
        <v>161.00848162615739</v>
      </c>
      <c r="H44" s="72">
        <f t="shared" si="14"/>
        <v>154.56814236111111</v>
      </c>
      <c r="I44" s="72">
        <f t="shared" si="14"/>
        <v>148.38541666666666</v>
      </c>
      <c r="J44" s="72">
        <f t="shared" si="14"/>
        <v>142.44999999999999</v>
      </c>
      <c r="K44" s="72">
        <f t="shared" si="14"/>
        <v>136.75200000000001</v>
      </c>
      <c r="N44" s="230"/>
      <c r="O44" s="145" t="s">
        <v>34</v>
      </c>
      <c r="P44" s="78">
        <f t="shared" si="16"/>
        <v>8.0944579324604558</v>
      </c>
      <c r="Q44" s="78">
        <f t="shared" si="16"/>
        <v>7.1950737177426278</v>
      </c>
      <c r="R44" s="78">
        <f t="shared" si="16"/>
        <v>6.4755663459683648</v>
      </c>
      <c r="S44" s="78">
        <f t="shared" si="16"/>
        <v>5.8868784963348775</v>
      </c>
      <c r="T44" s="78">
        <f t="shared" si="16"/>
        <v>5.1804530767746915</v>
      </c>
      <c r="U44" s="78">
        <f t="shared" si="16"/>
        <v>4.9732349537037042</v>
      </c>
      <c r="V44" s="78">
        <f t="shared" si="16"/>
        <v>4.7743055555555554</v>
      </c>
      <c r="W44" s="78">
        <f t="shared" si="16"/>
        <v>4.583333333333333</v>
      </c>
      <c r="X44" s="79">
        <f t="shared" si="17"/>
        <v>4.4000000000000004</v>
      </c>
    </row>
    <row r="45" spans="1:24">
      <c r="A45" s="236"/>
      <c r="B45" s="35" t="s">
        <v>35</v>
      </c>
      <c r="C45" s="72">
        <f t="shared" si="14"/>
        <v>211.32363213433163</v>
      </c>
      <c r="D45" s="72">
        <f t="shared" si="14"/>
        <v>187.84322856385035</v>
      </c>
      <c r="E45" s="72">
        <f t="shared" si="14"/>
        <v>169.0589057074653</v>
      </c>
      <c r="F45" s="72">
        <f t="shared" si="14"/>
        <v>153.68991427951391</v>
      </c>
      <c r="G45" s="72">
        <f t="shared" si="14"/>
        <v>135.24712456597223</v>
      </c>
      <c r="H45" s="72">
        <f t="shared" si="14"/>
        <v>129.83723958333334</v>
      </c>
      <c r="I45" s="72">
        <f t="shared" si="14"/>
        <v>124.64375</v>
      </c>
      <c r="J45" s="72">
        <f t="shared" si="14"/>
        <v>119.658</v>
      </c>
      <c r="K45" s="72">
        <f t="shared" si="14"/>
        <v>114.87168</v>
      </c>
      <c r="N45" s="230"/>
      <c r="O45" s="145" t="s">
        <v>35</v>
      </c>
      <c r="P45" s="78">
        <f t="shared" si="16"/>
        <v>6.7993446632667842</v>
      </c>
      <c r="Q45" s="78">
        <f t="shared" si="16"/>
        <v>6.0438619229038082</v>
      </c>
      <c r="R45" s="78">
        <f t="shared" si="16"/>
        <v>5.4394757306134274</v>
      </c>
      <c r="S45" s="78">
        <f t="shared" si="16"/>
        <v>4.9449779369212976</v>
      </c>
      <c r="T45" s="78">
        <f t="shared" si="16"/>
        <v>4.3515805844907414</v>
      </c>
      <c r="U45" s="78">
        <f t="shared" si="16"/>
        <v>4.1775173611111116</v>
      </c>
      <c r="V45" s="78">
        <f t="shared" si="16"/>
        <v>4.010416666666667</v>
      </c>
      <c r="W45" s="78">
        <f t="shared" si="16"/>
        <v>3.85</v>
      </c>
      <c r="X45" s="79">
        <f t="shared" si="17"/>
        <v>3.6960000000000002</v>
      </c>
    </row>
    <row r="46" spans="1:24">
      <c r="A46" s="236"/>
      <c r="B46" s="35" t="s">
        <v>36</v>
      </c>
      <c r="C46" s="72">
        <f t="shared" si="14"/>
        <v>170.42228397929966</v>
      </c>
      <c r="D46" s="72">
        <f t="shared" si="14"/>
        <v>151.48647464826641</v>
      </c>
      <c r="E46" s="72">
        <f t="shared" si="14"/>
        <v>136.33782718343977</v>
      </c>
      <c r="F46" s="72">
        <f t="shared" si="14"/>
        <v>123.94347925767251</v>
      </c>
      <c r="G46" s="72">
        <f t="shared" si="14"/>
        <v>109.0702617467518</v>
      </c>
      <c r="H46" s="72">
        <f t="shared" si="14"/>
        <v>104.70745127688171</v>
      </c>
      <c r="I46" s="72">
        <f t="shared" si="14"/>
        <v>100.51915322580645</v>
      </c>
      <c r="J46" s="72">
        <f t="shared" si="14"/>
        <v>96.498387096774195</v>
      </c>
      <c r="K46" s="72">
        <f t="shared" si="14"/>
        <v>92.638451612903211</v>
      </c>
      <c r="N46" s="233" t="s">
        <v>195</v>
      </c>
      <c r="O46" s="145" t="s">
        <v>36</v>
      </c>
      <c r="P46" s="78">
        <f t="shared" si="16"/>
        <v>5.4833424703764377</v>
      </c>
      <c r="Q46" s="78">
        <f t="shared" si="16"/>
        <v>4.8740821958901677</v>
      </c>
      <c r="R46" s="78">
        <f t="shared" si="16"/>
        <v>4.3866739763011511</v>
      </c>
      <c r="S46" s="78">
        <f t="shared" si="16"/>
        <v>3.987885433001046</v>
      </c>
      <c r="T46" s="78">
        <f t="shared" si="16"/>
        <v>3.5093391810409202</v>
      </c>
      <c r="U46" s="78">
        <f t="shared" si="16"/>
        <v>3.3689656137992832</v>
      </c>
      <c r="V46" s="78">
        <f t="shared" si="16"/>
        <v>3.234206989247312</v>
      </c>
      <c r="W46" s="78">
        <f t="shared" si="16"/>
        <v>3.1048387096774195</v>
      </c>
      <c r="X46" s="79">
        <f t="shared" si="17"/>
        <v>2.9806451612903224</v>
      </c>
    </row>
    <row r="47" spans="1:24" ht="14.25" customHeight="1" thickBot="1">
      <c r="A47" s="237"/>
      <c r="B47" s="92" t="s">
        <v>37</v>
      </c>
      <c r="C47" s="93">
        <f t="shared" si="14"/>
        <v>146.75252231550806</v>
      </c>
      <c r="D47" s="93">
        <f t="shared" si="14"/>
        <v>130.44668650267383</v>
      </c>
      <c r="E47" s="93">
        <f t="shared" si="14"/>
        <v>117.40201785240644</v>
      </c>
      <c r="F47" s="93">
        <f t="shared" si="14"/>
        <v>106.72910713855131</v>
      </c>
      <c r="G47" s="93">
        <f t="shared" si="14"/>
        <v>93.921614281925159</v>
      </c>
      <c r="H47" s="93">
        <f t="shared" si="14"/>
        <v>90.164749710648152</v>
      </c>
      <c r="I47" s="93">
        <f t="shared" si="14"/>
        <v>86.558159722222229</v>
      </c>
      <c r="J47" s="93">
        <f t="shared" si="14"/>
        <v>83.095833333333331</v>
      </c>
      <c r="K47" s="93">
        <f t="shared" si="14"/>
        <v>79.772000000000006</v>
      </c>
      <c r="N47" s="232"/>
      <c r="O47" s="150" t="s">
        <v>37</v>
      </c>
      <c r="P47" s="82">
        <f t="shared" si="16"/>
        <v>4.721767127268599</v>
      </c>
      <c r="Q47" s="82">
        <f t="shared" si="16"/>
        <v>4.197126335349866</v>
      </c>
      <c r="R47" s="82">
        <f t="shared" si="16"/>
        <v>3.7774137018148792</v>
      </c>
      <c r="S47" s="82">
        <f t="shared" si="16"/>
        <v>3.4340124561953451</v>
      </c>
      <c r="T47" s="82">
        <f t="shared" si="16"/>
        <v>3.0219309614519037</v>
      </c>
      <c r="U47" s="82">
        <f t="shared" si="16"/>
        <v>2.9010537229938276</v>
      </c>
      <c r="V47" s="82">
        <f t="shared" si="16"/>
        <v>2.7850115740740744</v>
      </c>
      <c r="W47" s="82">
        <f t="shared" si="16"/>
        <v>2.6736111111111112</v>
      </c>
      <c r="X47" s="83">
        <f t="shared" si="17"/>
        <v>2.5666666666666669</v>
      </c>
    </row>
    <row r="48" spans="1:24" ht="14.25" customHeight="1">
      <c r="A48" s="248" t="s">
        <v>122</v>
      </c>
      <c r="B48" s="249"/>
      <c r="C48" s="91">
        <f>D48*1600/1800</f>
        <v>46.14285714285716</v>
      </c>
      <c r="D48" s="91">
        <f>E48*1800/2000</f>
        <v>51.910714285714299</v>
      </c>
      <c r="E48" s="91">
        <f>F48*2000/2200</f>
        <v>57.678571428571438</v>
      </c>
      <c r="F48" s="91">
        <f>G48*2200/2400</f>
        <v>63.446428571428577</v>
      </c>
      <c r="G48" s="91">
        <f>IF(H42=0,IF(G42&gt;0,$I$36*0.85,0),H48*2400/2500)</f>
        <v>69.214285714285722</v>
      </c>
      <c r="H48" s="91">
        <f>IF(I42=0,IF(H42&gt;0,$I$36*0.85,0),I48*2500/2600)</f>
        <v>72.098214285714292</v>
      </c>
      <c r="I48" s="91">
        <f>IF(J42=0,IF(I42&gt;0,$I$36*0.85,0),J48*2600/2700)</f>
        <v>74.982142857142861</v>
      </c>
      <c r="J48" s="91">
        <f>IF(K42=0,IF(J42&gt;0,$I$36*0.85,0),K48*2700/2800)</f>
        <v>77.866071428571431</v>
      </c>
      <c r="K48" s="91">
        <f>IF(K42&gt;0,$I$36*0.85,0)</f>
        <v>80.75</v>
      </c>
    </row>
    <row r="49" spans="1:11">
      <c r="A49" s="32"/>
      <c r="B49" s="89" t="s">
        <v>120</v>
      </c>
      <c r="C49" s="84">
        <f>D49*1600/1800</f>
        <v>415.42857142857144</v>
      </c>
      <c r="D49" s="84">
        <f>E49*1800/2000</f>
        <v>467.35714285714289</v>
      </c>
      <c r="E49" s="84">
        <f>F49*2000/2200</f>
        <v>519.28571428571433</v>
      </c>
      <c r="F49" s="84">
        <f>G49*2200/2400</f>
        <v>571.21428571428578</v>
      </c>
      <c r="G49" s="84">
        <f>IF(H42=0,IF(G42&gt;0,K38,0),H49*2400/2500)</f>
        <v>623.14285714285722</v>
      </c>
      <c r="H49" s="84">
        <f>IF(I42=0,IF(H42&gt;0,K38,0),I49*2500/2600)</f>
        <v>649.10714285714289</v>
      </c>
      <c r="I49" s="84">
        <f>IF(J42=0,IF(I42&gt;0,K38,0),J49*2600/2700)</f>
        <v>675.07142857142867</v>
      </c>
      <c r="J49" s="84">
        <f>IF(K42=0,IF(J42&gt;0,K38,0),K49*2700/2800)</f>
        <v>701.03571428571433</v>
      </c>
      <c r="K49" s="88">
        <f>IF(K42&gt;0,K38,0)</f>
        <v>727</v>
      </c>
    </row>
    <row r="50" spans="1:11" ht="13.8" thickBot="1">
      <c r="A50" s="98"/>
      <c r="B50" s="90" t="s">
        <v>121</v>
      </c>
      <c r="C50" s="85">
        <f>D50*1600/1800</f>
        <v>295.42857142857144</v>
      </c>
      <c r="D50" s="85">
        <f>E50*1800/2000</f>
        <v>332.35714285714289</v>
      </c>
      <c r="E50" s="85">
        <f>F50*2000/2200</f>
        <v>369.28571428571433</v>
      </c>
      <c r="F50" s="85">
        <f>G50*2200/2400</f>
        <v>406.21428571428572</v>
      </c>
      <c r="G50" s="85">
        <f>IF(H42=0,IF(G42&gt;0,K39,0),H50*2400/2500)</f>
        <v>443.14285714285711</v>
      </c>
      <c r="H50" s="85">
        <f>IF(I42=0,IF(H42&gt;0,K39,0),I50*2500/2600)</f>
        <v>461.60714285714283</v>
      </c>
      <c r="I50" s="85">
        <f>IF(J42=0,IF(I42&gt;0,K39,0),J50*2600/2700)</f>
        <v>480.07142857142856</v>
      </c>
      <c r="J50" s="85">
        <f>IF(K42=0,IF(J42&gt;0,K39,0),K50*2700/2800)</f>
        <v>498.53571428571428</v>
      </c>
      <c r="K50" s="85">
        <f>IF(K42&gt;0,K39,0)</f>
        <v>517</v>
      </c>
    </row>
    <row r="51" spans="1:11" ht="13.8" thickTop="1"/>
  </sheetData>
  <sheetProtection algorithmName="SHA-512" hashValue="FX9NmXoK6EyYo3fstkXVxRYq10k1hEiMVFlNuQZBFkKh16viYPLYVJwbcKNZq9gtbSJXDZohjc+Wx9SkutOOWw==" saltValue="JenD/UVQf6XK/2JMnRV+WA==" spinCount="100000" sheet="1" objects="1" scenarios="1" selectLockedCells="1" selectUnlockedCells="1"/>
  <mergeCells count="35">
    <mergeCell ref="A48:B48"/>
    <mergeCell ref="P3:X3"/>
    <mergeCell ref="N5:O5"/>
    <mergeCell ref="A17:B17"/>
    <mergeCell ref="A18:B18"/>
    <mergeCell ref="A19:B19"/>
    <mergeCell ref="C3:K3"/>
    <mergeCell ref="A5:B5"/>
    <mergeCell ref="A14:E14"/>
    <mergeCell ref="A13:K13"/>
    <mergeCell ref="A6:A11"/>
    <mergeCell ref="N41:O41"/>
    <mergeCell ref="A22:B22"/>
    <mergeCell ref="N22:O22"/>
    <mergeCell ref="P20:S20"/>
    <mergeCell ref="P39:S39"/>
    <mergeCell ref="U39:V39"/>
    <mergeCell ref="U20:V20"/>
    <mergeCell ref="A42:A47"/>
    <mergeCell ref="A38:B38"/>
    <mergeCell ref="A41:B41"/>
    <mergeCell ref="A37:B37"/>
    <mergeCell ref="A23:A28"/>
    <mergeCell ref="A32:J32"/>
    <mergeCell ref="A33:E33"/>
    <mergeCell ref="A36:B36"/>
    <mergeCell ref="A29:B29"/>
    <mergeCell ref="N46:N47"/>
    <mergeCell ref="N6:N9"/>
    <mergeCell ref="N10:N11"/>
    <mergeCell ref="N23:N26"/>
    <mergeCell ref="N27:N28"/>
    <mergeCell ref="N42:N45"/>
    <mergeCell ref="N20:O20"/>
    <mergeCell ref="N39:O39"/>
  </mergeCells>
  <phoneticPr fontId="16"/>
  <pageMargins left="1.0236220472440944" right="0.23622047244094491" top="1.1417322834645669" bottom="0.74803149606299213" header="0.31496062992125984" footer="0.70866141732283472"/>
  <pageSetup paperSize="9" firstPageNumber="4294963191" orientation="portrait" r:id="rId1"/>
  <headerFooter alignWithMargins="0">
    <oddFooter>&amp;R株式会社ショーシン</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J30"/>
  <sheetViews>
    <sheetView showZeros="0" zoomScale="96" zoomScaleNormal="96" workbookViewId="0">
      <pane xSplit="1" ySplit="2" topLeftCell="AA3" activePane="bottomRight" state="frozen"/>
      <selection pane="topRight" activeCell="B1" sqref="B1"/>
      <selection pane="bottomLeft" activeCell="A3" sqref="A3"/>
      <selection pane="bottomRight" activeCell="A31" sqref="A31"/>
    </sheetView>
  </sheetViews>
  <sheetFormatPr defaultColWidth="9" defaultRowHeight="13.2"/>
  <cols>
    <col min="1" max="1" width="53.21875" style="169" customWidth="1"/>
    <col min="2" max="2" width="9" style="171" customWidth="1"/>
    <col min="3" max="31" width="9" style="171"/>
    <col min="32" max="32" width="9" style="154"/>
    <col min="33" max="33" width="10" style="154" customWidth="1"/>
    <col min="34" max="34" width="9" style="167"/>
    <col min="35" max="36" width="9" style="170"/>
    <col min="37" max="16384" width="9" style="169"/>
  </cols>
  <sheetData>
    <row r="1" spans="1:36" s="160" customFormat="1" ht="23.25" customHeight="1">
      <c r="A1" s="157" t="s">
        <v>49</v>
      </c>
      <c r="B1" s="258" t="s">
        <v>140</v>
      </c>
      <c r="C1" s="258"/>
      <c r="D1" s="258"/>
      <c r="E1" s="258"/>
      <c r="F1" s="258"/>
      <c r="G1" s="257" t="s">
        <v>141</v>
      </c>
      <c r="H1" s="257"/>
      <c r="I1" s="257"/>
      <c r="J1" s="257"/>
      <c r="K1" s="257"/>
      <c r="L1" s="258" t="s">
        <v>142</v>
      </c>
      <c r="M1" s="258"/>
      <c r="N1" s="258"/>
      <c r="O1" s="258"/>
      <c r="P1" s="258"/>
      <c r="Q1" s="257" t="s">
        <v>143</v>
      </c>
      <c r="R1" s="257"/>
      <c r="S1" s="257"/>
      <c r="T1" s="257"/>
      <c r="U1" s="257"/>
      <c r="V1" s="258" t="s">
        <v>144</v>
      </c>
      <c r="W1" s="258"/>
      <c r="X1" s="258"/>
      <c r="Y1" s="258"/>
      <c r="Z1" s="258"/>
      <c r="AA1" s="257" t="s">
        <v>145</v>
      </c>
      <c r="AB1" s="257"/>
      <c r="AC1" s="257"/>
      <c r="AD1" s="257"/>
      <c r="AE1" s="257"/>
      <c r="AF1" s="158"/>
      <c r="AG1" s="155" t="s">
        <v>91</v>
      </c>
      <c r="AH1" s="159" t="s">
        <v>146</v>
      </c>
      <c r="AI1" s="256" t="s">
        <v>117</v>
      </c>
      <c r="AJ1" s="256"/>
    </row>
    <row r="2" spans="1:36" s="160" customFormat="1">
      <c r="A2" s="161" t="s">
        <v>156</v>
      </c>
      <c r="B2" s="162">
        <v>2400</v>
      </c>
      <c r="C2" s="162">
        <v>2500</v>
      </c>
      <c r="D2" s="162">
        <v>2600</v>
      </c>
      <c r="E2" s="162">
        <v>2700</v>
      </c>
      <c r="F2" s="162">
        <v>2800</v>
      </c>
      <c r="G2" s="163">
        <v>2400</v>
      </c>
      <c r="H2" s="164">
        <v>2500</v>
      </c>
      <c r="I2" s="164">
        <v>2600</v>
      </c>
      <c r="J2" s="164">
        <v>2700</v>
      </c>
      <c r="K2" s="164">
        <v>2800</v>
      </c>
      <c r="L2" s="162">
        <v>2400</v>
      </c>
      <c r="M2" s="162">
        <v>2500</v>
      </c>
      <c r="N2" s="162">
        <v>2600</v>
      </c>
      <c r="O2" s="162">
        <v>2700</v>
      </c>
      <c r="P2" s="162">
        <v>2800</v>
      </c>
      <c r="Q2" s="164">
        <v>2400</v>
      </c>
      <c r="R2" s="164">
        <v>2500</v>
      </c>
      <c r="S2" s="164">
        <v>2600</v>
      </c>
      <c r="T2" s="164">
        <v>2700</v>
      </c>
      <c r="U2" s="164">
        <v>2800</v>
      </c>
      <c r="V2" s="162">
        <v>2400</v>
      </c>
      <c r="W2" s="162">
        <v>2500</v>
      </c>
      <c r="X2" s="162">
        <v>2600</v>
      </c>
      <c r="Y2" s="162">
        <v>2700</v>
      </c>
      <c r="Z2" s="162">
        <v>2800</v>
      </c>
      <c r="AA2" s="164">
        <v>2400</v>
      </c>
      <c r="AB2" s="164">
        <v>2500</v>
      </c>
      <c r="AC2" s="164">
        <v>2600</v>
      </c>
      <c r="AD2" s="164">
        <v>2700</v>
      </c>
      <c r="AE2" s="164">
        <v>2800</v>
      </c>
      <c r="AF2" s="158"/>
      <c r="AG2" s="155" t="s">
        <v>92</v>
      </c>
      <c r="AH2" s="159" t="s">
        <v>147</v>
      </c>
      <c r="AI2" s="159" t="s">
        <v>118</v>
      </c>
      <c r="AJ2" s="159" t="s">
        <v>119</v>
      </c>
    </row>
    <row r="3" spans="1:36" s="159" customFormat="1" ht="13.2" customHeight="1">
      <c r="A3" s="165" t="s">
        <v>105</v>
      </c>
      <c r="B3" s="166">
        <f t="shared" ref="B3" si="0">C3*0.96</f>
        <v>1.2740198399999998</v>
      </c>
      <c r="C3" s="166">
        <f>D3*0.96</f>
        <v>1.3271039999999998</v>
      </c>
      <c r="D3" s="166">
        <f t="shared" ref="D3" si="1">E3*0.96</f>
        <v>1.3823999999999999</v>
      </c>
      <c r="E3" s="166">
        <f t="shared" ref="E3" si="2">F3*0.96</f>
        <v>1.44</v>
      </c>
      <c r="F3" s="166">
        <v>1.5</v>
      </c>
      <c r="G3" s="166">
        <f t="shared" ref="G3" si="3">H3*0.96</f>
        <v>1.4438891519999999</v>
      </c>
      <c r="H3" s="166">
        <f t="shared" ref="H3" si="4">I3*0.96</f>
        <v>1.5040511999999999</v>
      </c>
      <c r="I3" s="166">
        <f t="shared" ref="I3" si="5">J3*0.96</f>
        <v>1.5667199999999999</v>
      </c>
      <c r="J3" s="166">
        <f t="shared" ref="J3" si="6">K3*0.96</f>
        <v>1.6319999999999999</v>
      </c>
      <c r="K3" s="166">
        <v>1.7</v>
      </c>
      <c r="L3" s="166">
        <f t="shared" ref="L3" si="7">M3*0.96</f>
        <v>1.7836277759999999</v>
      </c>
      <c r="M3" s="166">
        <f>N3*0.96</f>
        <v>1.8579455999999999</v>
      </c>
      <c r="N3" s="166">
        <f t="shared" ref="N3" si="8">O3*0.96</f>
        <v>1.93536</v>
      </c>
      <c r="O3" s="166">
        <f t="shared" ref="O3" si="9">P3*0.96</f>
        <v>2.016</v>
      </c>
      <c r="P3" s="166">
        <v>2.1</v>
      </c>
      <c r="Q3" s="166">
        <f t="shared" ref="Q3" si="10">R3*0.96</f>
        <v>2.1233663999999997</v>
      </c>
      <c r="R3" s="166">
        <f t="shared" ref="R3" si="11">S3*0.96</f>
        <v>2.2118399999999996</v>
      </c>
      <c r="S3" s="166">
        <f t="shared" ref="S3" si="12">T3*0.96</f>
        <v>2.3039999999999998</v>
      </c>
      <c r="T3" s="166">
        <f t="shared" ref="T3" si="13">U3*0.96</f>
        <v>2.4</v>
      </c>
      <c r="U3" s="166">
        <v>2.5</v>
      </c>
      <c r="V3" s="166">
        <f t="shared" ref="V3" si="14">W3*0.96</f>
        <v>2.6329743359999997</v>
      </c>
      <c r="W3" s="166">
        <f>X3*0.96</f>
        <v>2.7426816000000001</v>
      </c>
      <c r="X3" s="166">
        <f t="shared" ref="X3" si="15">Y3*0.96</f>
        <v>2.8569599999999999</v>
      </c>
      <c r="Y3" s="166">
        <f t="shared" ref="Y3" si="16">Z3*0.96</f>
        <v>2.976</v>
      </c>
      <c r="Z3" s="166">
        <v>3.1</v>
      </c>
      <c r="AA3" s="166">
        <f t="shared" ref="AA3" si="17">AB3*0.96</f>
        <v>3.0576476159999997</v>
      </c>
      <c r="AB3" s="166">
        <f t="shared" ref="AB3" si="18">AC3*0.96</f>
        <v>3.1850495999999997</v>
      </c>
      <c r="AC3" s="166">
        <f t="shared" ref="AC3" si="19">AD3*0.96</f>
        <v>3.3177599999999998</v>
      </c>
      <c r="AD3" s="166">
        <f t="shared" ref="AD3" si="20">AE3*0.96</f>
        <v>3.456</v>
      </c>
      <c r="AE3" s="166">
        <v>3.6</v>
      </c>
      <c r="AF3" s="158"/>
      <c r="AG3" s="154">
        <v>95</v>
      </c>
      <c r="AH3" s="167">
        <v>18</v>
      </c>
      <c r="AI3" s="167">
        <v>727</v>
      </c>
      <c r="AJ3" s="167">
        <v>517</v>
      </c>
    </row>
    <row r="4" spans="1:36" s="159" customFormat="1" ht="13.2" customHeight="1">
      <c r="A4" s="165" t="s">
        <v>106</v>
      </c>
      <c r="B4" s="166">
        <v>1.4</v>
      </c>
      <c r="C4" s="166"/>
      <c r="D4" s="166"/>
      <c r="E4" s="166"/>
      <c r="F4" s="166"/>
      <c r="G4" s="166">
        <v>1.7</v>
      </c>
      <c r="H4" s="166"/>
      <c r="I4" s="166"/>
      <c r="J4" s="166"/>
      <c r="K4" s="166"/>
      <c r="L4" s="166">
        <v>2.1</v>
      </c>
      <c r="M4" s="166"/>
      <c r="N4" s="166"/>
      <c r="O4" s="166"/>
      <c r="P4" s="166"/>
      <c r="Q4" s="166">
        <v>2.5</v>
      </c>
      <c r="R4" s="166"/>
      <c r="S4" s="166"/>
      <c r="T4" s="166"/>
      <c r="U4" s="166"/>
      <c r="V4" s="166">
        <v>3.1</v>
      </c>
      <c r="W4" s="166"/>
      <c r="X4" s="166"/>
      <c r="Y4" s="166"/>
      <c r="Z4" s="166"/>
      <c r="AA4" s="166">
        <v>3.6</v>
      </c>
      <c r="AB4" s="166"/>
      <c r="AC4" s="166"/>
      <c r="AD4" s="166"/>
      <c r="AE4" s="166"/>
      <c r="AF4" s="158"/>
      <c r="AG4" s="154">
        <v>112</v>
      </c>
      <c r="AH4" s="167">
        <v>20</v>
      </c>
      <c r="AI4" s="167">
        <v>795</v>
      </c>
      <c r="AJ4" s="167">
        <v>527</v>
      </c>
    </row>
    <row r="5" spans="1:36" s="159" customFormat="1" ht="13.2" customHeight="1">
      <c r="A5" s="165" t="s">
        <v>107</v>
      </c>
      <c r="B5" s="166">
        <v>1.5</v>
      </c>
      <c r="C5" s="166"/>
      <c r="D5" s="166"/>
      <c r="E5" s="166"/>
      <c r="F5" s="166"/>
      <c r="G5" s="166">
        <v>1.8</v>
      </c>
      <c r="H5" s="166"/>
      <c r="I5" s="166"/>
      <c r="J5" s="166"/>
      <c r="K5" s="166"/>
      <c r="L5" s="166">
        <v>2.2000000000000002</v>
      </c>
      <c r="M5" s="166"/>
      <c r="N5" s="166"/>
      <c r="O5" s="166"/>
      <c r="P5" s="166"/>
      <c r="Q5" s="166">
        <v>2.6</v>
      </c>
      <c r="R5" s="166"/>
      <c r="S5" s="166"/>
      <c r="T5" s="166"/>
      <c r="U5" s="166"/>
      <c r="V5" s="166">
        <v>3.2</v>
      </c>
      <c r="W5" s="166"/>
      <c r="X5" s="166"/>
      <c r="Y5" s="166"/>
      <c r="Z5" s="166"/>
      <c r="AA5" s="166">
        <v>3.8</v>
      </c>
      <c r="AB5" s="166"/>
      <c r="AC5" s="166"/>
      <c r="AD5" s="166"/>
      <c r="AE5" s="166"/>
      <c r="AF5" s="158"/>
      <c r="AG5" s="154">
        <v>112</v>
      </c>
      <c r="AH5" s="167">
        <v>20</v>
      </c>
      <c r="AI5" s="167">
        <v>795</v>
      </c>
      <c r="AJ5" s="167">
        <v>527</v>
      </c>
    </row>
    <row r="6" spans="1:36" ht="13.2" customHeight="1">
      <c r="A6" s="168" t="s">
        <v>104</v>
      </c>
      <c r="B6" s="166">
        <f>C6*0.96</f>
        <v>1.2902399999999998</v>
      </c>
      <c r="C6" s="166">
        <f>D6*0.96</f>
        <v>1.3439999999999999</v>
      </c>
      <c r="D6" s="166">
        <v>1.4</v>
      </c>
      <c r="E6" s="166">
        <f t="shared" ref="E6:E16" si="21">F6*0.96</f>
        <v>0</v>
      </c>
      <c r="F6" s="166"/>
      <c r="G6" s="166">
        <f>H6*0.96</f>
        <v>1.4745599999999999</v>
      </c>
      <c r="H6" s="166">
        <f>I6*0.96</f>
        <v>1.536</v>
      </c>
      <c r="I6" s="166">
        <v>1.6</v>
      </c>
      <c r="J6" s="166">
        <f t="shared" ref="J6:J16" si="22">K6*0.96</f>
        <v>0</v>
      </c>
      <c r="K6" s="166"/>
      <c r="L6" s="166">
        <f>M6*0.96</f>
        <v>1.8431999999999999</v>
      </c>
      <c r="M6" s="166">
        <f>N6*0.96</f>
        <v>1.92</v>
      </c>
      <c r="N6" s="166">
        <v>2</v>
      </c>
      <c r="O6" s="166">
        <f t="shared" ref="O6:O16" si="23">P6*0.96</f>
        <v>0</v>
      </c>
      <c r="P6" s="166"/>
      <c r="Q6" s="166">
        <f>R6*0.96</f>
        <v>2.1196799999999998</v>
      </c>
      <c r="R6" s="166">
        <f>S6*0.96</f>
        <v>2.2079999999999997</v>
      </c>
      <c r="S6" s="166">
        <v>2.2999999999999998</v>
      </c>
      <c r="T6" s="166">
        <f t="shared" ref="T6:T17" si="24">U6*0.96</f>
        <v>0</v>
      </c>
      <c r="U6" s="166"/>
      <c r="V6" s="166">
        <f>W6*0.96</f>
        <v>2.7647999999999997</v>
      </c>
      <c r="W6" s="166">
        <f>X6*0.96</f>
        <v>2.88</v>
      </c>
      <c r="X6" s="166">
        <v>3</v>
      </c>
      <c r="Y6" s="166">
        <f t="shared" ref="Y6:Y16" si="25">Z6*0.96</f>
        <v>0</v>
      </c>
      <c r="Z6" s="166"/>
      <c r="AA6" s="166">
        <f>AB6*0.96</f>
        <v>3.1334399999999998</v>
      </c>
      <c r="AB6" s="166">
        <f>AC6*0.96</f>
        <v>3.2639999999999998</v>
      </c>
      <c r="AC6" s="166">
        <v>3.4</v>
      </c>
      <c r="AD6" s="166">
        <f t="shared" ref="AD6:AD17" si="26">AE6*0.96</f>
        <v>0</v>
      </c>
      <c r="AE6" s="166"/>
      <c r="AG6" s="154">
        <v>116</v>
      </c>
      <c r="AH6" s="167">
        <v>20</v>
      </c>
      <c r="AI6" s="167">
        <v>800</v>
      </c>
      <c r="AJ6" s="167">
        <v>570</v>
      </c>
    </row>
    <row r="7" spans="1:36" ht="13.2" customHeight="1">
      <c r="A7" s="168" t="s">
        <v>103</v>
      </c>
      <c r="B7" s="166">
        <f t="shared" ref="B7:B30" si="27">C7*0.96</f>
        <v>1.3823999999999999</v>
      </c>
      <c r="C7" s="166">
        <f>D7*0.96</f>
        <v>1.44</v>
      </c>
      <c r="D7" s="166">
        <v>1.5</v>
      </c>
      <c r="E7" s="166"/>
      <c r="F7" s="166"/>
      <c r="G7" s="166">
        <f t="shared" ref="G7:G30" si="28">H7*0.96</f>
        <v>1.5667199999999999</v>
      </c>
      <c r="H7" s="166">
        <f>I7*0.96</f>
        <v>1.6319999999999999</v>
      </c>
      <c r="I7" s="166">
        <v>1.7</v>
      </c>
      <c r="J7" s="166"/>
      <c r="K7" s="166"/>
      <c r="L7" s="166">
        <f t="shared" ref="L7:L30" si="29">M7*0.96</f>
        <v>1.93536</v>
      </c>
      <c r="M7" s="166">
        <f>N7*0.96</f>
        <v>2.016</v>
      </c>
      <c r="N7" s="166">
        <v>2.1</v>
      </c>
      <c r="O7" s="166"/>
      <c r="P7" s="166"/>
      <c r="Q7" s="166">
        <f t="shared" ref="Q7:Q30" si="30">R7*0.96</f>
        <v>2.3039999999999998</v>
      </c>
      <c r="R7" s="166">
        <f t="shared" ref="R7:R12" si="31">S7*0.96</f>
        <v>2.4</v>
      </c>
      <c r="S7" s="166">
        <v>2.5</v>
      </c>
      <c r="T7" s="166"/>
      <c r="U7" s="166"/>
      <c r="V7" s="166">
        <f t="shared" ref="V7:V30" si="32">W7*0.96</f>
        <v>2.8569599999999999</v>
      </c>
      <c r="W7" s="166">
        <f>X7*0.96</f>
        <v>2.976</v>
      </c>
      <c r="X7" s="166">
        <v>3.1</v>
      </c>
      <c r="Y7" s="166"/>
      <c r="Z7" s="166"/>
      <c r="AA7" s="166">
        <f t="shared" ref="AA7:AA30" si="33">AB7*0.96</f>
        <v>3.4099200000000001</v>
      </c>
      <c r="AB7" s="166">
        <f t="shared" ref="AB7:AB12" si="34">AC7*0.96</f>
        <v>3.552</v>
      </c>
      <c r="AC7" s="166">
        <v>3.7</v>
      </c>
      <c r="AD7" s="166"/>
      <c r="AE7" s="166"/>
      <c r="AG7" s="154">
        <v>116</v>
      </c>
      <c r="AH7" s="167">
        <v>20</v>
      </c>
      <c r="AI7" s="167">
        <v>800</v>
      </c>
      <c r="AJ7" s="167">
        <v>570</v>
      </c>
    </row>
    <row r="8" spans="1:36" ht="13.2" customHeight="1">
      <c r="A8" s="168" t="s">
        <v>93</v>
      </c>
      <c r="B8" s="166">
        <f t="shared" si="27"/>
        <v>1.44</v>
      </c>
      <c r="C8" s="166">
        <v>1.5</v>
      </c>
      <c r="D8" s="166">
        <f t="shared" ref="D8:D25" si="35">E8*0.96</f>
        <v>0</v>
      </c>
      <c r="E8" s="166">
        <f t="shared" si="21"/>
        <v>0</v>
      </c>
      <c r="F8" s="166"/>
      <c r="G8" s="166">
        <f t="shared" si="28"/>
        <v>0</v>
      </c>
      <c r="H8" s="166"/>
      <c r="I8" s="166">
        <f t="shared" ref="I8:I25" si="36">J8*0.96</f>
        <v>0</v>
      </c>
      <c r="J8" s="166">
        <f t="shared" si="22"/>
        <v>0</v>
      </c>
      <c r="K8" s="166"/>
      <c r="L8" s="166">
        <f t="shared" si="29"/>
        <v>2.016</v>
      </c>
      <c r="M8" s="166">
        <v>2.1</v>
      </c>
      <c r="N8" s="166">
        <f t="shared" ref="N8:N25" si="37">O8*0.96</f>
        <v>0</v>
      </c>
      <c r="O8" s="166">
        <f t="shared" si="23"/>
        <v>0</v>
      </c>
      <c r="P8" s="166"/>
      <c r="Q8" s="166">
        <f t="shared" si="30"/>
        <v>0</v>
      </c>
      <c r="R8" s="166">
        <f t="shared" si="31"/>
        <v>0</v>
      </c>
      <c r="S8" s="166">
        <f t="shared" ref="S8:S25" si="38">T8*0.96</f>
        <v>0</v>
      </c>
      <c r="T8" s="166">
        <f t="shared" si="24"/>
        <v>0</v>
      </c>
      <c r="U8" s="166"/>
      <c r="V8" s="166">
        <f t="shared" si="32"/>
        <v>3.0720000000000001</v>
      </c>
      <c r="W8" s="166">
        <v>3.2</v>
      </c>
      <c r="X8" s="166">
        <f t="shared" ref="X8:X25" si="39">Y8*0.96</f>
        <v>0</v>
      </c>
      <c r="Y8" s="166">
        <f t="shared" si="25"/>
        <v>0</v>
      </c>
      <c r="Z8" s="166"/>
      <c r="AA8" s="166">
        <f t="shared" si="33"/>
        <v>0</v>
      </c>
      <c r="AB8" s="166">
        <f t="shared" si="34"/>
        <v>0</v>
      </c>
      <c r="AC8" s="166">
        <f t="shared" ref="AC8:AC25" si="40">AD8*0.96</f>
        <v>0</v>
      </c>
      <c r="AD8" s="166">
        <f t="shared" si="26"/>
        <v>0</v>
      </c>
      <c r="AE8" s="166"/>
      <c r="AG8" s="154">
        <v>63</v>
      </c>
      <c r="AH8" s="167">
        <v>16</v>
      </c>
      <c r="AI8" s="167">
        <v>525</v>
      </c>
      <c r="AJ8" s="167"/>
    </row>
    <row r="9" spans="1:36" ht="13.2" customHeight="1">
      <c r="A9" s="168" t="s">
        <v>94</v>
      </c>
      <c r="B9" s="166">
        <f t="shared" si="27"/>
        <v>1.44</v>
      </c>
      <c r="C9" s="166">
        <v>1.5</v>
      </c>
      <c r="D9" s="166">
        <f t="shared" ref="D9" si="41">E9*0.96</f>
        <v>0</v>
      </c>
      <c r="E9" s="166">
        <f t="shared" ref="E9" si="42">F9*0.96</f>
        <v>0</v>
      </c>
      <c r="F9" s="166"/>
      <c r="G9" s="166">
        <f t="shared" si="28"/>
        <v>0</v>
      </c>
      <c r="H9" s="166"/>
      <c r="I9" s="166">
        <f t="shared" ref="I9" si="43">J9*0.96</f>
        <v>0</v>
      </c>
      <c r="J9" s="166">
        <f t="shared" ref="J9" si="44">K9*0.96</f>
        <v>0</v>
      </c>
      <c r="K9" s="166"/>
      <c r="L9" s="166">
        <f t="shared" si="29"/>
        <v>2.016</v>
      </c>
      <c r="M9" s="166">
        <v>2.1</v>
      </c>
      <c r="N9" s="166">
        <f t="shared" ref="N9" si="45">O9*0.96</f>
        <v>0</v>
      </c>
      <c r="O9" s="166">
        <f t="shared" ref="O9" si="46">P9*0.96</f>
        <v>0</v>
      </c>
      <c r="P9" s="166"/>
      <c r="Q9" s="166">
        <f t="shared" si="30"/>
        <v>0</v>
      </c>
      <c r="R9" s="166">
        <f t="shared" si="31"/>
        <v>0</v>
      </c>
      <c r="S9" s="166">
        <f t="shared" ref="S9" si="47">T9*0.96</f>
        <v>0</v>
      </c>
      <c r="T9" s="166">
        <f t="shared" ref="T9" si="48">U9*0.96</f>
        <v>0</v>
      </c>
      <c r="U9" s="166"/>
      <c r="V9" s="166">
        <f t="shared" si="32"/>
        <v>3.0720000000000001</v>
      </c>
      <c r="W9" s="166">
        <v>3.2</v>
      </c>
      <c r="X9" s="166">
        <f t="shared" ref="X9" si="49">Y9*0.96</f>
        <v>0</v>
      </c>
      <c r="Y9" s="166">
        <f t="shared" ref="Y9" si="50">Z9*0.96</f>
        <v>0</v>
      </c>
      <c r="Z9" s="166"/>
      <c r="AA9" s="166">
        <f t="shared" si="33"/>
        <v>0</v>
      </c>
      <c r="AB9" s="166">
        <f t="shared" si="34"/>
        <v>0</v>
      </c>
      <c r="AC9" s="166">
        <f t="shared" ref="AC9" si="51">AD9*0.96</f>
        <v>0</v>
      </c>
      <c r="AD9" s="166">
        <f t="shared" ref="AD9" si="52">AE9*0.96</f>
        <v>0</v>
      </c>
      <c r="AE9" s="166"/>
      <c r="AG9" s="154">
        <v>47</v>
      </c>
      <c r="AH9" s="167">
        <v>16</v>
      </c>
      <c r="AI9" s="167">
        <v>525</v>
      </c>
      <c r="AJ9" s="167"/>
    </row>
    <row r="10" spans="1:36" ht="13.2" customHeight="1">
      <c r="A10" s="168" t="s">
        <v>128</v>
      </c>
      <c r="B10" s="166">
        <f t="shared" ref="B10" si="53">C10*0.96</f>
        <v>1.44</v>
      </c>
      <c r="C10" s="166">
        <v>1.5</v>
      </c>
      <c r="D10" s="166">
        <f t="shared" ref="D10" si="54">E10*0.96</f>
        <v>0</v>
      </c>
      <c r="E10" s="166">
        <f t="shared" ref="E10" si="55">F10*0.96</f>
        <v>0</v>
      </c>
      <c r="F10" s="166"/>
      <c r="G10" s="166">
        <f t="shared" ref="G10" si="56">H10*0.96</f>
        <v>0</v>
      </c>
      <c r="H10" s="166"/>
      <c r="I10" s="166">
        <f t="shared" ref="I10" si="57">J10*0.96</f>
        <v>0</v>
      </c>
      <c r="J10" s="166">
        <f t="shared" ref="J10" si="58">K10*0.96</f>
        <v>0</v>
      </c>
      <c r="K10" s="166"/>
      <c r="L10" s="166">
        <f t="shared" ref="L10" si="59">M10*0.96</f>
        <v>2.016</v>
      </c>
      <c r="M10" s="166">
        <v>2.1</v>
      </c>
      <c r="N10" s="166">
        <f t="shared" ref="N10" si="60">O10*0.96</f>
        <v>0</v>
      </c>
      <c r="O10" s="166">
        <f t="shared" ref="O10" si="61">P10*0.96</f>
        <v>0</v>
      </c>
      <c r="P10" s="166"/>
      <c r="Q10" s="166">
        <f t="shared" ref="Q10" si="62">R10*0.96</f>
        <v>0</v>
      </c>
      <c r="R10" s="166">
        <f t="shared" si="31"/>
        <v>0</v>
      </c>
      <c r="S10" s="166">
        <f t="shared" ref="S10" si="63">T10*0.96</f>
        <v>0</v>
      </c>
      <c r="T10" s="166">
        <f t="shared" ref="T10" si="64">U10*0.96</f>
        <v>0</v>
      </c>
      <c r="U10" s="166"/>
      <c r="V10" s="166">
        <f t="shared" ref="V10" si="65">W10*0.96</f>
        <v>3.0720000000000001</v>
      </c>
      <c r="W10" s="166">
        <v>3.2</v>
      </c>
      <c r="X10" s="166">
        <f t="shared" ref="X10" si="66">Y10*0.96</f>
        <v>0</v>
      </c>
      <c r="Y10" s="166">
        <f t="shared" ref="Y10" si="67">Z10*0.96</f>
        <v>0</v>
      </c>
      <c r="Z10" s="166"/>
      <c r="AA10" s="166">
        <f t="shared" ref="AA10" si="68">AB10*0.96</f>
        <v>0</v>
      </c>
      <c r="AB10" s="166">
        <f t="shared" si="34"/>
        <v>0</v>
      </c>
      <c r="AC10" s="166">
        <f t="shared" ref="AC10" si="69">AD10*0.96</f>
        <v>0</v>
      </c>
      <c r="AD10" s="166">
        <f t="shared" ref="AD10" si="70">AE10*0.96</f>
        <v>0</v>
      </c>
      <c r="AE10" s="166"/>
      <c r="AG10" s="154">
        <v>63</v>
      </c>
      <c r="AH10" s="167">
        <v>16</v>
      </c>
      <c r="AI10" s="167">
        <v>525</v>
      </c>
      <c r="AJ10" s="167"/>
    </row>
    <row r="11" spans="1:36" ht="13.2" customHeight="1">
      <c r="A11" s="168" t="s">
        <v>50</v>
      </c>
      <c r="B11" s="166">
        <f t="shared" si="27"/>
        <v>1.536</v>
      </c>
      <c r="C11" s="166">
        <v>1.6</v>
      </c>
      <c r="D11" s="166">
        <f t="shared" si="35"/>
        <v>0</v>
      </c>
      <c r="E11" s="166">
        <f t="shared" si="21"/>
        <v>0</v>
      </c>
      <c r="F11" s="166"/>
      <c r="G11" s="166">
        <f t="shared" si="28"/>
        <v>0</v>
      </c>
      <c r="H11" s="166">
        <f>I11*0.96</f>
        <v>0</v>
      </c>
      <c r="I11" s="166">
        <f t="shared" si="36"/>
        <v>0</v>
      </c>
      <c r="J11" s="166">
        <f t="shared" si="22"/>
        <v>0</v>
      </c>
      <c r="K11" s="166"/>
      <c r="L11" s="166">
        <f t="shared" si="29"/>
        <v>2.1120000000000001</v>
      </c>
      <c r="M11" s="166">
        <v>2.2000000000000002</v>
      </c>
      <c r="N11" s="166">
        <f t="shared" si="37"/>
        <v>0</v>
      </c>
      <c r="O11" s="166">
        <f t="shared" si="23"/>
        <v>0</v>
      </c>
      <c r="P11" s="166"/>
      <c r="Q11" s="166">
        <f t="shared" si="30"/>
        <v>0</v>
      </c>
      <c r="R11" s="166">
        <f t="shared" si="31"/>
        <v>0</v>
      </c>
      <c r="S11" s="166">
        <f t="shared" si="38"/>
        <v>0</v>
      </c>
      <c r="T11" s="166">
        <f t="shared" si="24"/>
        <v>0</v>
      </c>
      <c r="U11" s="166"/>
      <c r="V11" s="166">
        <f t="shared" si="32"/>
        <v>3.2639999999999998</v>
      </c>
      <c r="W11" s="166">
        <v>3.4</v>
      </c>
      <c r="X11" s="166">
        <f t="shared" si="39"/>
        <v>0</v>
      </c>
      <c r="Y11" s="166">
        <f t="shared" si="25"/>
        <v>0</v>
      </c>
      <c r="Z11" s="166"/>
      <c r="AA11" s="166">
        <f t="shared" si="33"/>
        <v>0</v>
      </c>
      <c r="AB11" s="166">
        <f t="shared" si="34"/>
        <v>0</v>
      </c>
      <c r="AC11" s="166">
        <f t="shared" si="40"/>
        <v>0</v>
      </c>
      <c r="AD11" s="166">
        <f t="shared" si="26"/>
        <v>0</v>
      </c>
      <c r="AE11" s="166"/>
      <c r="AG11" s="154">
        <v>93</v>
      </c>
      <c r="AH11" s="167">
        <v>16</v>
      </c>
      <c r="AI11" s="167">
        <v>525</v>
      </c>
      <c r="AJ11" s="167"/>
    </row>
    <row r="12" spans="1:36" ht="13.2" customHeight="1">
      <c r="A12" s="168" t="s">
        <v>127</v>
      </c>
      <c r="B12" s="166">
        <f t="shared" ref="B12" si="71">C12*0.96</f>
        <v>1.536</v>
      </c>
      <c r="C12" s="166">
        <v>1.6</v>
      </c>
      <c r="D12" s="166">
        <f t="shared" ref="D12" si="72">E12*0.96</f>
        <v>0</v>
      </c>
      <c r="E12" s="166">
        <f t="shared" ref="E12" si="73">F12*0.96</f>
        <v>0</v>
      </c>
      <c r="F12" s="166"/>
      <c r="G12" s="166">
        <f t="shared" ref="G12" si="74">H12*0.96</f>
        <v>0</v>
      </c>
      <c r="H12" s="166">
        <f>I12*0.96</f>
        <v>0</v>
      </c>
      <c r="I12" s="166">
        <f t="shared" ref="I12" si="75">J12*0.96</f>
        <v>0</v>
      </c>
      <c r="J12" s="166">
        <f t="shared" ref="J12" si="76">K12*0.96</f>
        <v>0</v>
      </c>
      <c r="K12" s="166"/>
      <c r="L12" s="166">
        <f t="shared" ref="L12" si="77">M12*0.96</f>
        <v>2.1120000000000001</v>
      </c>
      <c r="M12" s="166">
        <v>2.2000000000000002</v>
      </c>
      <c r="N12" s="166">
        <f t="shared" ref="N12" si="78">O12*0.96</f>
        <v>0</v>
      </c>
      <c r="O12" s="166">
        <f t="shared" ref="O12" si="79">P12*0.96</f>
        <v>0</v>
      </c>
      <c r="P12" s="166"/>
      <c r="Q12" s="166">
        <f t="shared" ref="Q12" si="80">R12*0.96</f>
        <v>0</v>
      </c>
      <c r="R12" s="166">
        <f t="shared" si="31"/>
        <v>0</v>
      </c>
      <c r="S12" s="166">
        <f t="shared" ref="S12" si="81">T12*0.96</f>
        <v>0</v>
      </c>
      <c r="T12" s="166">
        <f t="shared" ref="T12" si="82">U12*0.96</f>
        <v>0</v>
      </c>
      <c r="U12" s="166"/>
      <c r="V12" s="166">
        <f t="shared" ref="V12" si="83">W12*0.96</f>
        <v>3.2639999999999998</v>
      </c>
      <c r="W12" s="166">
        <v>3.4</v>
      </c>
      <c r="X12" s="166">
        <f t="shared" ref="X12" si="84">Y12*0.96</f>
        <v>0</v>
      </c>
      <c r="Y12" s="166">
        <f t="shared" ref="Y12" si="85">Z12*0.96</f>
        <v>0</v>
      </c>
      <c r="Z12" s="166"/>
      <c r="AA12" s="166">
        <f t="shared" ref="AA12" si="86">AB12*0.96</f>
        <v>0</v>
      </c>
      <c r="AB12" s="166">
        <f t="shared" si="34"/>
        <v>0</v>
      </c>
      <c r="AC12" s="166">
        <f t="shared" ref="AC12" si="87">AD12*0.96</f>
        <v>0</v>
      </c>
      <c r="AD12" s="166">
        <f t="shared" ref="AD12" si="88">AE12*0.96</f>
        <v>0</v>
      </c>
      <c r="AE12" s="166"/>
      <c r="AG12" s="154">
        <v>93</v>
      </c>
      <c r="AH12" s="167">
        <v>16</v>
      </c>
      <c r="AI12" s="167">
        <v>560</v>
      </c>
      <c r="AJ12" s="167"/>
    </row>
    <row r="13" spans="1:36" ht="13.2" customHeight="1">
      <c r="A13" s="168" t="s">
        <v>115</v>
      </c>
      <c r="B13" s="166">
        <f t="shared" si="27"/>
        <v>1.3439999999999999</v>
      </c>
      <c r="C13" s="166">
        <v>1.4</v>
      </c>
      <c r="D13" s="166">
        <f t="shared" si="35"/>
        <v>0</v>
      </c>
      <c r="E13" s="166">
        <f t="shared" si="21"/>
        <v>0</v>
      </c>
      <c r="F13" s="166"/>
      <c r="G13" s="166">
        <f t="shared" si="28"/>
        <v>1.6319999999999999</v>
      </c>
      <c r="H13" s="166">
        <v>1.7</v>
      </c>
      <c r="I13" s="166">
        <f t="shared" si="36"/>
        <v>0</v>
      </c>
      <c r="J13" s="166">
        <f t="shared" si="22"/>
        <v>0</v>
      </c>
      <c r="K13" s="166"/>
      <c r="L13" s="166">
        <f t="shared" si="29"/>
        <v>2.016</v>
      </c>
      <c r="M13" s="166">
        <v>2.1</v>
      </c>
      <c r="N13" s="166">
        <f t="shared" si="37"/>
        <v>0</v>
      </c>
      <c r="O13" s="166">
        <f t="shared" si="23"/>
        <v>0</v>
      </c>
      <c r="P13" s="166"/>
      <c r="Q13" s="166">
        <f t="shared" si="30"/>
        <v>2.4</v>
      </c>
      <c r="R13" s="166">
        <v>2.5</v>
      </c>
      <c r="S13" s="166">
        <f t="shared" si="38"/>
        <v>0</v>
      </c>
      <c r="T13" s="166">
        <f t="shared" si="24"/>
        <v>0</v>
      </c>
      <c r="U13" s="166"/>
      <c r="V13" s="166">
        <f t="shared" si="32"/>
        <v>2.976</v>
      </c>
      <c r="W13" s="166">
        <v>3.1</v>
      </c>
      <c r="X13" s="166">
        <f t="shared" si="39"/>
        <v>0</v>
      </c>
      <c r="Y13" s="166">
        <f t="shared" si="25"/>
        <v>0</v>
      </c>
      <c r="Z13" s="166"/>
      <c r="AA13" s="166">
        <f t="shared" si="33"/>
        <v>3.456</v>
      </c>
      <c r="AB13" s="166">
        <v>3.6</v>
      </c>
      <c r="AC13" s="166">
        <f t="shared" si="40"/>
        <v>0</v>
      </c>
      <c r="AD13" s="166">
        <f t="shared" si="26"/>
        <v>0</v>
      </c>
      <c r="AE13" s="166"/>
      <c r="AG13" s="154">
        <v>93</v>
      </c>
      <c r="AH13" s="167">
        <v>18</v>
      </c>
      <c r="AI13" s="167">
        <v>642</v>
      </c>
      <c r="AJ13" s="167">
        <v>530</v>
      </c>
    </row>
    <row r="14" spans="1:36" ht="13.2" customHeight="1">
      <c r="A14" s="168" t="s">
        <v>116</v>
      </c>
      <c r="B14" s="166">
        <f t="shared" ref="B14" si="89">C14*0.96</f>
        <v>1.3439999999999999</v>
      </c>
      <c r="C14" s="166">
        <v>1.4</v>
      </c>
      <c r="D14" s="166">
        <f t="shared" ref="D14" si="90">E14*0.96</f>
        <v>0</v>
      </c>
      <c r="E14" s="166">
        <f t="shared" ref="E14" si="91">F14*0.96</f>
        <v>0</v>
      </c>
      <c r="F14" s="166"/>
      <c r="G14" s="166">
        <f t="shared" ref="G14" si="92">H14*0.96</f>
        <v>1.6319999999999999</v>
      </c>
      <c r="H14" s="166">
        <v>1.7</v>
      </c>
      <c r="I14" s="166">
        <f t="shared" ref="I14" si="93">J14*0.96</f>
        <v>0</v>
      </c>
      <c r="J14" s="166">
        <f t="shared" ref="J14" si="94">K14*0.96</f>
        <v>0</v>
      </c>
      <c r="K14" s="166"/>
      <c r="L14" s="166">
        <f t="shared" ref="L14" si="95">M14*0.96</f>
        <v>2.016</v>
      </c>
      <c r="M14" s="166">
        <v>2.1</v>
      </c>
      <c r="N14" s="166">
        <f t="shared" ref="N14" si="96">O14*0.96</f>
        <v>0</v>
      </c>
      <c r="O14" s="166">
        <f t="shared" ref="O14" si="97">P14*0.96</f>
        <v>0</v>
      </c>
      <c r="P14" s="166"/>
      <c r="Q14" s="166">
        <f t="shared" ref="Q14" si="98">R14*0.96</f>
        <v>2.4</v>
      </c>
      <c r="R14" s="166">
        <v>2.5</v>
      </c>
      <c r="S14" s="166">
        <f t="shared" ref="S14" si="99">T14*0.96</f>
        <v>0</v>
      </c>
      <c r="T14" s="166">
        <f t="shared" ref="T14" si="100">U14*0.96</f>
        <v>0</v>
      </c>
      <c r="U14" s="166"/>
      <c r="V14" s="166">
        <f t="shared" ref="V14" si="101">W14*0.96</f>
        <v>2.976</v>
      </c>
      <c r="W14" s="166">
        <v>3.1</v>
      </c>
      <c r="X14" s="166">
        <f t="shared" ref="X14" si="102">Y14*0.96</f>
        <v>0</v>
      </c>
      <c r="Y14" s="166">
        <f t="shared" ref="Y14" si="103">Z14*0.96</f>
        <v>0</v>
      </c>
      <c r="Z14" s="166"/>
      <c r="AA14" s="166">
        <f t="shared" ref="AA14" si="104">AB14*0.96</f>
        <v>3.456</v>
      </c>
      <c r="AB14" s="166">
        <v>3.6</v>
      </c>
      <c r="AC14" s="166">
        <f t="shared" ref="AC14" si="105">AD14*0.96</f>
        <v>0</v>
      </c>
      <c r="AD14" s="166">
        <f t="shared" ref="AD14" si="106">AE14*0.96</f>
        <v>0</v>
      </c>
      <c r="AE14" s="166"/>
      <c r="AG14" s="154">
        <v>93</v>
      </c>
      <c r="AH14" s="167">
        <v>18</v>
      </c>
      <c r="AI14" s="167">
        <v>728</v>
      </c>
      <c r="AJ14" s="167">
        <v>530</v>
      </c>
    </row>
    <row r="15" spans="1:36" ht="13.2" customHeight="1">
      <c r="A15" s="168" t="s">
        <v>51</v>
      </c>
      <c r="B15" s="166">
        <f t="shared" si="27"/>
        <v>1.44</v>
      </c>
      <c r="C15" s="166">
        <v>1.5</v>
      </c>
      <c r="D15" s="166">
        <f t="shared" si="35"/>
        <v>0</v>
      </c>
      <c r="E15" s="166">
        <f t="shared" si="21"/>
        <v>0</v>
      </c>
      <c r="F15" s="166"/>
      <c r="G15" s="166">
        <f t="shared" si="28"/>
        <v>0</v>
      </c>
      <c r="H15" s="166">
        <f>I15*0.96</f>
        <v>0</v>
      </c>
      <c r="I15" s="166">
        <f t="shared" si="36"/>
        <v>0</v>
      </c>
      <c r="J15" s="166">
        <f t="shared" si="22"/>
        <v>0</v>
      </c>
      <c r="K15" s="166"/>
      <c r="L15" s="166">
        <f t="shared" si="29"/>
        <v>2.1120000000000001</v>
      </c>
      <c r="M15" s="166">
        <v>2.2000000000000002</v>
      </c>
      <c r="N15" s="166">
        <f t="shared" si="37"/>
        <v>0</v>
      </c>
      <c r="O15" s="166">
        <f t="shared" si="23"/>
        <v>0</v>
      </c>
      <c r="P15" s="166"/>
      <c r="Q15" s="166">
        <f t="shared" si="30"/>
        <v>0</v>
      </c>
      <c r="R15" s="166">
        <f>S15*0.96</f>
        <v>0</v>
      </c>
      <c r="S15" s="166">
        <f t="shared" si="38"/>
        <v>0</v>
      </c>
      <c r="T15" s="166">
        <f t="shared" si="24"/>
        <v>0</v>
      </c>
      <c r="U15" s="166"/>
      <c r="V15" s="166">
        <f t="shared" si="32"/>
        <v>2.976</v>
      </c>
      <c r="W15" s="166">
        <v>3.1</v>
      </c>
      <c r="X15" s="166">
        <f t="shared" si="39"/>
        <v>0</v>
      </c>
      <c r="Y15" s="166">
        <f t="shared" si="25"/>
        <v>0</v>
      </c>
      <c r="Z15" s="166"/>
      <c r="AA15" s="166">
        <f t="shared" si="33"/>
        <v>0</v>
      </c>
      <c r="AB15" s="166">
        <f>AC15*0.96</f>
        <v>0</v>
      </c>
      <c r="AC15" s="166">
        <f t="shared" si="40"/>
        <v>0</v>
      </c>
      <c r="AD15" s="166">
        <f t="shared" si="26"/>
        <v>0</v>
      </c>
      <c r="AE15" s="166"/>
      <c r="AG15" s="154">
        <v>112</v>
      </c>
      <c r="AH15" s="167">
        <v>20</v>
      </c>
      <c r="AI15" s="167">
        <v>825</v>
      </c>
      <c r="AJ15" s="167">
        <v>550</v>
      </c>
    </row>
    <row r="16" spans="1:36" ht="13.2" customHeight="1">
      <c r="A16" s="168" t="s">
        <v>52</v>
      </c>
      <c r="B16" s="166">
        <f t="shared" si="27"/>
        <v>1.3439999999999999</v>
      </c>
      <c r="C16" s="166">
        <v>1.4</v>
      </c>
      <c r="D16" s="166">
        <f t="shared" si="35"/>
        <v>0</v>
      </c>
      <c r="E16" s="166">
        <f t="shared" si="21"/>
        <v>0</v>
      </c>
      <c r="F16" s="166"/>
      <c r="G16" s="166">
        <f t="shared" si="28"/>
        <v>1.6319999999999999</v>
      </c>
      <c r="H16" s="166">
        <v>1.7</v>
      </c>
      <c r="I16" s="166">
        <f t="shared" si="36"/>
        <v>0</v>
      </c>
      <c r="J16" s="166">
        <f t="shared" si="22"/>
        <v>0</v>
      </c>
      <c r="K16" s="166"/>
      <c r="L16" s="166">
        <f t="shared" si="29"/>
        <v>2.016</v>
      </c>
      <c r="M16" s="166">
        <v>2.1</v>
      </c>
      <c r="N16" s="166">
        <f t="shared" si="37"/>
        <v>0</v>
      </c>
      <c r="O16" s="166">
        <f t="shared" si="23"/>
        <v>0</v>
      </c>
      <c r="P16" s="166"/>
      <c r="Q16" s="166">
        <f t="shared" si="30"/>
        <v>2.3039999999999998</v>
      </c>
      <c r="R16" s="166">
        <v>2.4</v>
      </c>
      <c r="S16" s="166">
        <f t="shared" si="38"/>
        <v>0</v>
      </c>
      <c r="T16" s="166">
        <f t="shared" si="24"/>
        <v>0</v>
      </c>
      <c r="U16" s="166"/>
      <c r="V16" s="166">
        <f t="shared" si="32"/>
        <v>2.88</v>
      </c>
      <c r="W16" s="166">
        <v>3</v>
      </c>
      <c r="X16" s="166">
        <f t="shared" si="39"/>
        <v>0</v>
      </c>
      <c r="Y16" s="166">
        <f t="shared" si="25"/>
        <v>0</v>
      </c>
      <c r="Z16" s="166"/>
      <c r="AA16" s="166">
        <f t="shared" si="33"/>
        <v>3.456</v>
      </c>
      <c r="AB16" s="166">
        <v>3.6</v>
      </c>
      <c r="AC16" s="166">
        <f t="shared" si="40"/>
        <v>0</v>
      </c>
      <c r="AD16" s="166">
        <f t="shared" si="26"/>
        <v>0</v>
      </c>
      <c r="AE16" s="166"/>
      <c r="AG16" s="154">
        <v>116</v>
      </c>
      <c r="AH16" s="167">
        <v>20</v>
      </c>
      <c r="AI16" s="167">
        <v>825</v>
      </c>
      <c r="AJ16" s="167">
        <v>550</v>
      </c>
    </row>
    <row r="17" spans="1:36" ht="13.2" customHeight="1">
      <c r="A17" s="168" t="s">
        <v>53</v>
      </c>
      <c r="B17" s="166">
        <f t="shared" si="27"/>
        <v>1.20324096</v>
      </c>
      <c r="C17" s="166">
        <f>D17*0.96</f>
        <v>1.253376</v>
      </c>
      <c r="D17" s="166">
        <f t="shared" si="35"/>
        <v>1.3056000000000001</v>
      </c>
      <c r="E17" s="166">
        <v>1.36</v>
      </c>
      <c r="F17" s="166"/>
      <c r="G17" s="166">
        <f t="shared" si="28"/>
        <v>0</v>
      </c>
      <c r="H17" s="166">
        <f t="shared" ref="H17:H25" si="107">I17*0.96</f>
        <v>0</v>
      </c>
      <c r="I17" s="166">
        <f t="shared" si="36"/>
        <v>0</v>
      </c>
      <c r="J17" s="166"/>
      <c r="K17" s="166"/>
      <c r="L17" s="166">
        <f t="shared" si="29"/>
        <v>1.5394406399999998</v>
      </c>
      <c r="M17" s="166">
        <f>N17*0.96</f>
        <v>1.6035839999999999</v>
      </c>
      <c r="N17" s="166">
        <f t="shared" si="37"/>
        <v>1.6703999999999999</v>
      </c>
      <c r="O17" s="166">
        <v>1.74</v>
      </c>
      <c r="P17" s="166"/>
      <c r="Q17" s="166">
        <f t="shared" si="30"/>
        <v>0</v>
      </c>
      <c r="R17" s="166">
        <f t="shared" ref="R17:R25" si="108">S17*0.96</f>
        <v>0</v>
      </c>
      <c r="S17" s="166">
        <f t="shared" si="38"/>
        <v>0</v>
      </c>
      <c r="T17" s="166">
        <f t="shared" si="24"/>
        <v>0</v>
      </c>
      <c r="U17" s="166"/>
      <c r="V17" s="166">
        <f t="shared" si="32"/>
        <v>2.5922764799999998</v>
      </c>
      <c r="W17" s="166">
        <f>X17*0.96</f>
        <v>2.700288</v>
      </c>
      <c r="X17" s="166">
        <f t="shared" si="39"/>
        <v>2.8128000000000002</v>
      </c>
      <c r="Y17" s="166">
        <v>2.93</v>
      </c>
      <c r="Z17" s="166"/>
      <c r="AA17" s="166">
        <f t="shared" si="33"/>
        <v>0</v>
      </c>
      <c r="AB17" s="166">
        <f t="shared" ref="AB17:AB25" si="109">AC17*0.96</f>
        <v>0</v>
      </c>
      <c r="AC17" s="166">
        <f t="shared" si="40"/>
        <v>0</v>
      </c>
      <c r="AD17" s="166">
        <f t="shared" si="26"/>
        <v>0</v>
      </c>
      <c r="AE17" s="166"/>
      <c r="AG17" s="154">
        <v>90</v>
      </c>
      <c r="AH17" s="167">
        <v>18</v>
      </c>
      <c r="AI17" s="167">
        <v>670</v>
      </c>
      <c r="AJ17" s="167">
        <v>420</v>
      </c>
    </row>
    <row r="18" spans="1:36" ht="13.2" customHeight="1">
      <c r="A18" s="168" t="s">
        <v>54</v>
      </c>
      <c r="B18" s="166">
        <f t="shared" si="27"/>
        <v>1.0616831999999998</v>
      </c>
      <c r="C18" s="166">
        <f>D18*0.96</f>
        <v>1.1059199999999998</v>
      </c>
      <c r="D18" s="166">
        <f t="shared" si="35"/>
        <v>1.1519999999999999</v>
      </c>
      <c r="E18" s="166">
        <v>1.2</v>
      </c>
      <c r="F18" s="166"/>
      <c r="G18" s="166">
        <f t="shared" si="28"/>
        <v>2.0348927999999997</v>
      </c>
      <c r="H18" s="166">
        <f t="shared" si="107"/>
        <v>2.1196799999999998</v>
      </c>
      <c r="I18" s="166">
        <f t="shared" si="36"/>
        <v>2.2079999999999997</v>
      </c>
      <c r="J18" s="166">
        <v>2.2999999999999998</v>
      </c>
      <c r="K18" s="166"/>
      <c r="L18" s="166">
        <f t="shared" si="29"/>
        <v>1.4155775999999998</v>
      </c>
      <c r="M18" s="166">
        <f>N18*0.96</f>
        <v>1.4745599999999999</v>
      </c>
      <c r="N18" s="166">
        <f t="shared" si="37"/>
        <v>1.536</v>
      </c>
      <c r="O18" s="166">
        <v>1.6</v>
      </c>
      <c r="P18" s="166"/>
      <c r="Q18" s="166">
        <f t="shared" si="30"/>
        <v>2.5657343999999997</v>
      </c>
      <c r="R18" s="166">
        <f t="shared" si="108"/>
        <v>2.6726399999999999</v>
      </c>
      <c r="S18" s="166">
        <f t="shared" si="38"/>
        <v>2.7839999999999998</v>
      </c>
      <c r="T18" s="166">
        <v>2.9</v>
      </c>
      <c r="U18" s="166"/>
      <c r="V18" s="166">
        <f t="shared" si="32"/>
        <v>2.3003136</v>
      </c>
      <c r="W18" s="166">
        <f>X18*0.96</f>
        <v>2.3961600000000001</v>
      </c>
      <c r="X18" s="166">
        <f t="shared" si="39"/>
        <v>2.496</v>
      </c>
      <c r="Y18" s="166">
        <v>2.6</v>
      </c>
      <c r="Z18" s="166"/>
      <c r="AA18" s="166">
        <f t="shared" si="33"/>
        <v>4.3352063999999997</v>
      </c>
      <c r="AB18" s="166">
        <f t="shared" si="109"/>
        <v>4.5158399999999999</v>
      </c>
      <c r="AC18" s="166">
        <f t="shared" si="40"/>
        <v>4.7039999999999997</v>
      </c>
      <c r="AD18" s="166">
        <v>4.9000000000000004</v>
      </c>
      <c r="AE18" s="166"/>
      <c r="AG18" s="154">
        <v>90</v>
      </c>
      <c r="AH18" s="167">
        <v>20</v>
      </c>
      <c r="AI18" s="167">
        <v>740</v>
      </c>
      <c r="AJ18" s="167">
        <v>540</v>
      </c>
    </row>
    <row r="19" spans="1:36" ht="13.2" customHeight="1">
      <c r="A19" s="168" t="s">
        <v>55</v>
      </c>
      <c r="B19" s="166">
        <f t="shared" si="27"/>
        <v>1.0192158719999997</v>
      </c>
      <c r="C19" s="166">
        <f>D19*0.96</f>
        <v>1.0616831999999998</v>
      </c>
      <c r="D19" s="166">
        <f t="shared" si="35"/>
        <v>1.1059199999999998</v>
      </c>
      <c r="E19" s="166">
        <f t="shared" ref="E19:E30" si="110">F19*0.96</f>
        <v>1.1519999999999999</v>
      </c>
      <c r="F19" s="166">
        <v>1.2</v>
      </c>
      <c r="G19" s="166">
        <f t="shared" si="28"/>
        <v>1.8685624320000001</v>
      </c>
      <c r="H19" s="166">
        <f t="shared" si="107"/>
        <v>1.9464192</v>
      </c>
      <c r="I19" s="166">
        <f t="shared" si="36"/>
        <v>2.02752</v>
      </c>
      <c r="J19" s="166">
        <f t="shared" ref="J19:J30" si="111">K19*0.96</f>
        <v>2.1120000000000001</v>
      </c>
      <c r="K19" s="166">
        <v>2.2000000000000002</v>
      </c>
      <c r="L19" s="166">
        <f t="shared" si="29"/>
        <v>1.3589544959999997</v>
      </c>
      <c r="M19" s="166">
        <f>N19*0.96</f>
        <v>1.4155775999999998</v>
      </c>
      <c r="N19" s="166">
        <f t="shared" si="37"/>
        <v>1.4745599999999999</v>
      </c>
      <c r="O19" s="166">
        <f t="shared" ref="O19:O30" si="112">P19*0.96</f>
        <v>1.536</v>
      </c>
      <c r="P19" s="166">
        <v>1.6</v>
      </c>
      <c r="Q19" s="166">
        <f t="shared" si="30"/>
        <v>2.5480396799999996</v>
      </c>
      <c r="R19" s="166">
        <f t="shared" si="108"/>
        <v>2.6542079999999997</v>
      </c>
      <c r="S19" s="166">
        <f t="shared" si="38"/>
        <v>2.7647999999999997</v>
      </c>
      <c r="T19" s="166">
        <f t="shared" ref="T19:T30" si="113">U19*0.96</f>
        <v>2.88</v>
      </c>
      <c r="U19" s="166">
        <v>3</v>
      </c>
      <c r="V19" s="166">
        <f t="shared" si="32"/>
        <v>2.2083010559999998</v>
      </c>
      <c r="W19" s="166">
        <f>X19*0.96</f>
        <v>2.3003136</v>
      </c>
      <c r="X19" s="166">
        <f t="shared" si="39"/>
        <v>2.3961600000000001</v>
      </c>
      <c r="Y19" s="166">
        <f t="shared" ref="Y19:Y30" si="114">Z19*0.96</f>
        <v>2.496</v>
      </c>
      <c r="Z19" s="166">
        <v>2.6</v>
      </c>
      <c r="AA19" s="166">
        <f t="shared" si="33"/>
        <v>4.076863487999999</v>
      </c>
      <c r="AB19" s="166">
        <f t="shared" si="109"/>
        <v>4.2467327999999993</v>
      </c>
      <c r="AC19" s="166">
        <f t="shared" si="40"/>
        <v>4.4236799999999992</v>
      </c>
      <c r="AD19" s="166">
        <f t="shared" ref="AD19:AD30" si="115">AE19*0.96</f>
        <v>4.6079999999999997</v>
      </c>
      <c r="AE19" s="166">
        <v>4.8</v>
      </c>
      <c r="AG19" s="154">
        <v>96</v>
      </c>
      <c r="AH19" s="167">
        <v>18</v>
      </c>
      <c r="AI19" s="167">
        <v>645</v>
      </c>
      <c r="AJ19" s="167">
        <v>467</v>
      </c>
    </row>
    <row r="20" spans="1:36" ht="13.2" customHeight="1">
      <c r="A20" s="168" t="s">
        <v>113</v>
      </c>
      <c r="B20" s="166">
        <f t="shared" si="27"/>
        <v>1.3439999999999999</v>
      </c>
      <c r="C20" s="166">
        <v>1.4</v>
      </c>
      <c r="D20" s="166">
        <f t="shared" si="35"/>
        <v>0</v>
      </c>
      <c r="E20" s="166">
        <f t="shared" si="110"/>
        <v>0</v>
      </c>
      <c r="F20" s="166"/>
      <c r="G20" s="166">
        <f t="shared" si="28"/>
        <v>0</v>
      </c>
      <c r="H20" s="166">
        <f t="shared" si="107"/>
        <v>0</v>
      </c>
      <c r="I20" s="166">
        <f t="shared" si="36"/>
        <v>0</v>
      </c>
      <c r="J20" s="166">
        <f t="shared" si="111"/>
        <v>0</v>
      </c>
      <c r="K20" s="166"/>
      <c r="L20" s="166">
        <f t="shared" si="29"/>
        <v>1.8239999999999998</v>
      </c>
      <c r="M20" s="166">
        <v>1.9</v>
      </c>
      <c r="N20" s="166">
        <f t="shared" si="37"/>
        <v>0</v>
      </c>
      <c r="O20" s="166">
        <f t="shared" si="112"/>
        <v>0</v>
      </c>
      <c r="P20" s="166"/>
      <c r="Q20" s="166">
        <f t="shared" si="30"/>
        <v>0</v>
      </c>
      <c r="R20" s="166">
        <f t="shared" si="108"/>
        <v>0</v>
      </c>
      <c r="S20" s="166">
        <f t="shared" si="38"/>
        <v>0</v>
      </c>
      <c r="T20" s="166">
        <f t="shared" si="113"/>
        <v>0</v>
      </c>
      <c r="U20" s="166"/>
      <c r="V20" s="166">
        <f t="shared" si="32"/>
        <v>2.976</v>
      </c>
      <c r="W20" s="166">
        <v>3.1</v>
      </c>
      <c r="X20" s="166">
        <f t="shared" si="39"/>
        <v>0</v>
      </c>
      <c r="Y20" s="166">
        <f t="shared" si="114"/>
        <v>0</v>
      </c>
      <c r="Z20" s="166"/>
      <c r="AA20" s="166">
        <f t="shared" si="33"/>
        <v>0</v>
      </c>
      <c r="AB20" s="166">
        <f t="shared" si="109"/>
        <v>0</v>
      </c>
      <c r="AC20" s="166">
        <f t="shared" si="40"/>
        <v>0</v>
      </c>
      <c r="AD20" s="166">
        <f t="shared" si="115"/>
        <v>0</v>
      </c>
      <c r="AE20" s="166"/>
      <c r="AG20" s="154">
        <v>90</v>
      </c>
      <c r="AH20" s="167">
        <v>18</v>
      </c>
      <c r="AI20" s="167">
        <v>520</v>
      </c>
      <c r="AJ20" s="167">
        <v>440</v>
      </c>
    </row>
    <row r="21" spans="1:36" ht="13.2" customHeight="1">
      <c r="A21" s="168" t="s">
        <v>114</v>
      </c>
      <c r="B21" s="166">
        <f t="shared" ref="B21" si="116">C21*0.96</f>
        <v>1.3439999999999999</v>
      </c>
      <c r="C21" s="166">
        <v>1.4</v>
      </c>
      <c r="D21" s="166">
        <f t="shared" ref="D21" si="117">E21*0.96</f>
        <v>0</v>
      </c>
      <c r="E21" s="166">
        <f t="shared" ref="E21" si="118">F21*0.96</f>
        <v>0</v>
      </c>
      <c r="F21" s="166"/>
      <c r="G21" s="166">
        <f t="shared" ref="G21" si="119">H21*0.96</f>
        <v>0</v>
      </c>
      <c r="H21" s="166">
        <f t="shared" ref="H21" si="120">I21*0.96</f>
        <v>0</v>
      </c>
      <c r="I21" s="166">
        <f t="shared" ref="I21" si="121">J21*0.96</f>
        <v>0</v>
      </c>
      <c r="J21" s="166">
        <f t="shared" ref="J21" si="122">K21*0.96</f>
        <v>0</v>
      </c>
      <c r="K21" s="166"/>
      <c r="L21" s="166">
        <f t="shared" ref="L21" si="123">M21*0.96</f>
        <v>1.8239999999999998</v>
      </c>
      <c r="M21" s="166">
        <v>1.9</v>
      </c>
      <c r="N21" s="166">
        <f t="shared" ref="N21" si="124">O21*0.96</f>
        <v>0</v>
      </c>
      <c r="O21" s="166">
        <f t="shared" ref="O21" si="125">P21*0.96</f>
        <v>0</v>
      </c>
      <c r="P21" s="166"/>
      <c r="Q21" s="166">
        <f t="shared" ref="Q21" si="126">R21*0.96</f>
        <v>0</v>
      </c>
      <c r="R21" s="166">
        <f t="shared" ref="R21" si="127">S21*0.96</f>
        <v>0</v>
      </c>
      <c r="S21" s="166">
        <f t="shared" ref="S21" si="128">T21*0.96</f>
        <v>0</v>
      </c>
      <c r="T21" s="166">
        <f t="shared" ref="T21" si="129">U21*0.96</f>
        <v>0</v>
      </c>
      <c r="U21" s="166"/>
      <c r="V21" s="166">
        <f t="shared" ref="V21" si="130">W21*0.96</f>
        <v>2.976</v>
      </c>
      <c r="W21" s="166">
        <v>3.1</v>
      </c>
      <c r="X21" s="166">
        <f t="shared" ref="X21" si="131">Y21*0.96</f>
        <v>0</v>
      </c>
      <c r="Y21" s="166">
        <f t="shared" ref="Y21" si="132">Z21*0.96</f>
        <v>0</v>
      </c>
      <c r="Z21" s="166"/>
      <c r="AA21" s="166">
        <f t="shared" ref="AA21" si="133">AB21*0.96</f>
        <v>0</v>
      </c>
      <c r="AB21" s="166">
        <f t="shared" ref="AB21" si="134">AC21*0.96</f>
        <v>0</v>
      </c>
      <c r="AC21" s="166">
        <f t="shared" ref="AC21" si="135">AD21*0.96</f>
        <v>0</v>
      </c>
      <c r="AD21" s="166">
        <f t="shared" ref="AD21" si="136">AE21*0.96</f>
        <v>0</v>
      </c>
      <c r="AE21" s="166"/>
      <c r="AG21" s="154">
        <v>90</v>
      </c>
      <c r="AH21" s="167">
        <v>18</v>
      </c>
      <c r="AI21" s="167">
        <v>730</v>
      </c>
      <c r="AJ21" s="167">
        <v>490</v>
      </c>
    </row>
    <row r="22" spans="1:36" ht="13.2" customHeight="1">
      <c r="A22" s="168" t="s">
        <v>110</v>
      </c>
      <c r="B22" s="166">
        <f t="shared" si="27"/>
        <v>1.44</v>
      </c>
      <c r="C22" s="166">
        <v>1.5</v>
      </c>
      <c r="D22" s="166">
        <f t="shared" si="35"/>
        <v>0</v>
      </c>
      <c r="E22" s="166">
        <f t="shared" si="110"/>
        <v>0</v>
      </c>
      <c r="F22" s="166"/>
      <c r="G22" s="166">
        <f t="shared" si="28"/>
        <v>0</v>
      </c>
      <c r="H22" s="166">
        <f t="shared" si="107"/>
        <v>0</v>
      </c>
      <c r="I22" s="166">
        <f t="shared" si="36"/>
        <v>0</v>
      </c>
      <c r="J22" s="166">
        <f t="shared" si="111"/>
        <v>0</v>
      </c>
      <c r="K22" s="166"/>
      <c r="L22" s="166">
        <f t="shared" si="29"/>
        <v>2.016</v>
      </c>
      <c r="M22" s="166">
        <v>2.1</v>
      </c>
      <c r="N22" s="166">
        <f t="shared" si="37"/>
        <v>0</v>
      </c>
      <c r="O22" s="166">
        <f t="shared" si="112"/>
        <v>0</v>
      </c>
      <c r="P22" s="166"/>
      <c r="Q22" s="166">
        <f t="shared" si="30"/>
        <v>0</v>
      </c>
      <c r="R22" s="166">
        <f t="shared" si="108"/>
        <v>0</v>
      </c>
      <c r="S22" s="166">
        <f t="shared" si="38"/>
        <v>0</v>
      </c>
      <c r="T22" s="166">
        <f t="shared" si="113"/>
        <v>0</v>
      </c>
      <c r="U22" s="166"/>
      <c r="V22" s="166">
        <f t="shared" si="32"/>
        <v>2.976</v>
      </c>
      <c r="W22" s="166">
        <v>3.1</v>
      </c>
      <c r="X22" s="166">
        <f t="shared" si="39"/>
        <v>0</v>
      </c>
      <c r="Y22" s="166">
        <f t="shared" si="114"/>
        <v>0</v>
      </c>
      <c r="Z22" s="166"/>
      <c r="AA22" s="166">
        <f t="shared" si="33"/>
        <v>0</v>
      </c>
      <c r="AB22" s="166">
        <f t="shared" si="109"/>
        <v>0</v>
      </c>
      <c r="AC22" s="166">
        <f t="shared" si="40"/>
        <v>0</v>
      </c>
      <c r="AD22" s="166">
        <f t="shared" si="115"/>
        <v>0</v>
      </c>
      <c r="AE22" s="166"/>
      <c r="AG22" s="154">
        <v>63</v>
      </c>
      <c r="AH22" s="167">
        <v>16</v>
      </c>
      <c r="AI22" s="167">
        <v>495</v>
      </c>
      <c r="AJ22" s="167"/>
    </row>
    <row r="23" spans="1:36" ht="13.2" customHeight="1">
      <c r="A23" s="168" t="s">
        <v>101</v>
      </c>
      <c r="B23" s="166">
        <f t="shared" si="27"/>
        <v>1.44</v>
      </c>
      <c r="C23" s="166">
        <v>1.5</v>
      </c>
      <c r="D23" s="166">
        <f t="shared" si="35"/>
        <v>0</v>
      </c>
      <c r="E23" s="166">
        <f t="shared" si="110"/>
        <v>0</v>
      </c>
      <c r="F23" s="166"/>
      <c r="G23" s="166">
        <f t="shared" si="28"/>
        <v>0</v>
      </c>
      <c r="H23" s="166">
        <f t="shared" si="107"/>
        <v>0</v>
      </c>
      <c r="I23" s="166">
        <f t="shared" si="36"/>
        <v>0</v>
      </c>
      <c r="J23" s="166">
        <f t="shared" si="111"/>
        <v>0</v>
      </c>
      <c r="K23" s="166"/>
      <c r="L23" s="166">
        <f t="shared" si="29"/>
        <v>2.016</v>
      </c>
      <c r="M23" s="166">
        <v>2.1</v>
      </c>
      <c r="N23" s="166">
        <f t="shared" si="37"/>
        <v>0</v>
      </c>
      <c r="O23" s="166">
        <f t="shared" si="112"/>
        <v>0</v>
      </c>
      <c r="P23" s="166"/>
      <c r="Q23" s="166">
        <f t="shared" si="30"/>
        <v>0</v>
      </c>
      <c r="R23" s="166">
        <f t="shared" si="108"/>
        <v>0</v>
      </c>
      <c r="S23" s="166">
        <f t="shared" si="38"/>
        <v>0</v>
      </c>
      <c r="T23" s="166">
        <f t="shared" si="113"/>
        <v>0</v>
      </c>
      <c r="U23" s="166"/>
      <c r="V23" s="166">
        <f t="shared" si="32"/>
        <v>2.976</v>
      </c>
      <c r="W23" s="166">
        <v>3.1</v>
      </c>
      <c r="X23" s="166">
        <f t="shared" si="39"/>
        <v>0</v>
      </c>
      <c r="Y23" s="166">
        <f t="shared" si="114"/>
        <v>0</v>
      </c>
      <c r="Z23" s="166"/>
      <c r="AA23" s="166">
        <f t="shared" si="33"/>
        <v>0</v>
      </c>
      <c r="AB23" s="166">
        <f t="shared" si="109"/>
        <v>0</v>
      </c>
      <c r="AC23" s="166">
        <f t="shared" si="40"/>
        <v>0</v>
      </c>
      <c r="AD23" s="166">
        <f t="shared" si="115"/>
        <v>0</v>
      </c>
      <c r="AE23" s="166"/>
      <c r="AG23" s="154">
        <v>47</v>
      </c>
      <c r="AH23" s="167">
        <v>16</v>
      </c>
      <c r="AI23" s="167">
        <v>410</v>
      </c>
      <c r="AJ23" s="167"/>
    </row>
    <row r="24" spans="1:36" ht="13.2" customHeight="1">
      <c r="A24" s="168" t="s">
        <v>100</v>
      </c>
      <c r="B24" s="166">
        <f t="shared" si="27"/>
        <v>1.44</v>
      </c>
      <c r="C24" s="166">
        <v>1.5</v>
      </c>
      <c r="D24" s="166"/>
      <c r="E24" s="166"/>
      <c r="F24" s="166"/>
      <c r="G24" s="166">
        <f t="shared" si="28"/>
        <v>0</v>
      </c>
      <c r="H24" s="166"/>
      <c r="I24" s="166"/>
      <c r="J24" s="166"/>
      <c r="K24" s="166"/>
      <c r="L24" s="166">
        <f t="shared" si="29"/>
        <v>2.0063999999999997</v>
      </c>
      <c r="M24" s="166">
        <v>2.09</v>
      </c>
      <c r="N24" s="166"/>
      <c r="O24" s="166"/>
      <c r="P24" s="166"/>
      <c r="Q24" s="166">
        <f t="shared" si="30"/>
        <v>0</v>
      </c>
      <c r="R24" s="166"/>
      <c r="S24" s="166"/>
      <c r="T24" s="166"/>
      <c r="U24" s="166"/>
      <c r="V24" s="166">
        <f t="shared" si="32"/>
        <v>2.9952000000000001</v>
      </c>
      <c r="W24" s="166">
        <v>3.12</v>
      </c>
      <c r="X24" s="166"/>
      <c r="Y24" s="166"/>
      <c r="Z24" s="166"/>
      <c r="AA24" s="166">
        <f t="shared" si="33"/>
        <v>0</v>
      </c>
      <c r="AB24" s="166"/>
      <c r="AC24" s="166"/>
      <c r="AD24" s="166"/>
      <c r="AE24" s="166"/>
      <c r="AG24" s="154">
        <v>69.8</v>
      </c>
      <c r="AH24" s="167">
        <v>16</v>
      </c>
      <c r="AI24" s="167">
        <v>520</v>
      </c>
      <c r="AJ24" s="167"/>
    </row>
    <row r="25" spans="1:36" ht="13.2" customHeight="1">
      <c r="A25" s="168" t="s">
        <v>56</v>
      </c>
      <c r="B25" s="166">
        <f t="shared" si="27"/>
        <v>1.44</v>
      </c>
      <c r="C25" s="166">
        <v>1.5</v>
      </c>
      <c r="D25" s="166">
        <f t="shared" si="35"/>
        <v>0</v>
      </c>
      <c r="E25" s="166">
        <f t="shared" si="110"/>
        <v>0</v>
      </c>
      <c r="F25" s="166"/>
      <c r="G25" s="166">
        <f t="shared" si="28"/>
        <v>0</v>
      </c>
      <c r="H25" s="166">
        <f t="shared" si="107"/>
        <v>0</v>
      </c>
      <c r="I25" s="166">
        <f t="shared" si="36"/>
        <v>0</v>
      </c>
      <c r="J25" s="166">
        <f t="shared" si="111"/>
        <v>0</v>
      </c>
      <c r="K25" s="166"/>
      <c r="L25" s="166">
        <f t="shared" si="29"/>
        <v>1.92</v>
      </c>
      <c r="M25" s="166">
        <v>2</v>
      </c>
      <c r="N25" s="166">
        <f t="shared" si="37"/>
        <v>0</v>
      </c>
      <c r="O25" s="166">
        <f t="shared" si="112"/>
        <v>0</v>
      </c>
      <c r="P25" s="166"/>
      <c r="Q25" s="166">
        <f t="shared" si="30"/>
        <v>0</v>
      </c>
      <c r="R25" s="166">
        <f t="shared" si="108"/>
        <v>0</v>
      </c>
      <c r="S25" s="166">
        <f t="shared" si="38"/>
        <v>0</v>
      </c>
      <c r="T25" s="166">
        <f t="shared" si="113"/>
        <v>0</v>
      </c>
      <c r="U25" s="166"/>
      <c r="V25" s="166">
        <f t="shared" si="32"/>
        <v>2.976</v>
      </c>
      <c r="W25" s="166">
        <v>3.1</v>
      </c>
      <c r="X25" s="166">
        <f t="shared" si="39"/>
        <v>0</v>
      </c>
      <c r="Y25" s="166">
        <f t="shared" si="114"/>
        <v>0</v>
      </c>
      <c r="Z25" s="166"/>
      <c r="AA25" s="166">
        <f t="shared" si="33"/>
        <v>0</v>
      </c>
      <c r="AB25" s="166">
        <f t="shared" si="109"/>
        <v>0</v>
      </c>
      <c r="AC25" s="166">
        <f t="shared" si="40"/>
        <v>0</v>
      </c>
      <c r="AD25" s="166">
        <f t="shared" si="115"/>
        <v>0</v>
      </c>
      <c r="AE25" s="166"/>
      <c r="AG25" s="154">
        <v>93</v>
      </c>
      <c r="AH25" s="167">
        <v>18</v>
      </c>
      <c r="AI25" s="167">
        <v>642</v>
      </c>
      <c r="AJ25" s="167">
        <v>530</v>
      </c>
    </row>
    <row r="26" spans="1:36" ht="13.2" customHeight="1">
      <c r="A26" s="168" t="s">
        <v>95</v>
      </c>
      <c r="B26" s="166">
        <f t="shared" si="27"/>
        <v>1.3439999999999999</v>
      </c>
      <c r="C26" s="166">
        <v>1.4</v>
      </c>
      <c r="D26" s="166">
        <f>E26*0.96</f>
        <v>0</v>
      </c>
      <c r="E26" s="166">
        <f t="shared" si="110"/>
        <v>0</v>
      </c>
      <c r="F26" s="166"/>
      <c r="G26" s="166">
        <f t="shared" si="28"/>
        <v>1.6319999999999999</v>
      </c>
      <c r="H26" s="166">
        <v>1.7</v>
      </c>
      <c r="I26" s="166">
        <f>J26*0.96</f>
        <v>0</v>
      </c>
      <c r="J26" s="166">
        <f t="shared" si="111"/>
        <v>0</v>
      </c>
      <c r="K26" s="166"/>
      <c r="L26" s="166">
        <f t="shared" si="29"/>
        <v>2.016</v>
      </c>
      <c r="M26" s="166">
        <v>2.1</v>
      </c>
      <c r="N26" s="166">
        <f>O26*0.96</f>
        <v>0</v>
      </c>
      <c r="O26" s="166">
        <f t="shared" si="112"/>
        <v>0</v>
      </c>
      <c r="P26" s="166"/>
      <c r="Q26" s="166">
        <f t="shared" si="30"/>
        <v>2.3039999999999998</v>
      </c>
      <c r="R26" s="166">
        <v>2.4</v>
      </c>
      <c r="S26" s="166">
        <f>T26*0.96</f>
        <v>0</v>
      </c>
      <c r="T26" s="166">
        <f t="shared" si="113"/>
        <v>0</v>
      </c>
      <c r="U26" s="166"/>
      <c r="V26" s="166">
        <f t="shared" si="32"/>
        <v>2.88</v>
      </c>
      <c r="W26" s="166">
        <v>3</v>
      </c>
      <c r="X26" s="166">
        <f>Y26*0.96</f>
        <v>0</v>
      </c>
      <c r="Y26" s="166">
        <f t="shared" si="114"/>
        <v>0</v>
      </c>
      <c r="Z26" s="166"/>
      <c r="AA26" s="166">
        <f t="shared" si="33"/>
        <v>3.456</v>
      </c>
      <c r="AB26" s="166">
        <v>3.6</v>
      </c>
      <c r="AC26" s="166">
        <f>AD26*0.96</f>
        <v>0</v>
      </c>
      <c r="AD26" s="166">
        <f t="shared" si="115"/>
        <v>0</v>
      </c>
      <c r="AE26" s="166"/>
      <c r="AG26" s="154">
        <v>93</v>
      </c>
      <c r="AH26" s="167">
        <v>18</v>
      </c>
      <c r="AI26" s="167">
        <v>728</v>
      </c>
      <c r="AJ26" s="167">
        <v>530</v>
      </c>
    </row>
    <row r="27" spans="1:36" ht="13.2" customHeight="1">
      <c r="A27" s="168" t="s">
        <v>96</v>
      </c>
      <c r="B27" s="166">
        <f t="shared" si="27"/>
        <v>1.3439999999999999</v>
      </c>
      <c r="C27" s="166">
        <v>1.4</v>
      </c>
      <c r="D27" s="166">
        <f>E27*0.96</f>
        <v>0</v>
      </c>
      <c r="E27" s="166">
        <f t="shared" ref="E27" si="137">F27*0.96</f>
        <v>0</v>
      </c>
      <c r="F27" s="166"/>
      <c r="G27" s="166">
        <f t="shared" si="28"/>
        <v>1.6319999999999999</v>
      </c>
      <c r="H27" s="166">
        <v>1.7</v>
      </c>
      <c r="I27" s="166">
        <f>J27*0.96</f>
        <v>0</v>
      </c>
      <c r="J27" s="166">
        <f t="shared" ref="J27" si="138">K27*0.96</f>
        <v>0</v>
      </c>
      <c r="K27" s="166"/>
      <c r="L27" s="166">
        <f t="shared" si="29"/>
        <v>2.016</v>
      </c>
      <c r="M27" s="166">
        <v>2.1</v>
      </c>
      <c r="N27" s="166">
        <f>O27*0.96</f>
        <v>0</v>
      </c>
      <c r="O27" s="166">
        <f t="shared" ref="O27" si="139">P27*0.96</f>
        <v>0</v>
      </c>
      <c r="P27" s="166"/>
      <c r="Q27" s="166">
        <f t="shared" si="30"/>
        <v>2.3039999999999998</v>
      </c>
      <c r="R27" s="166">
        <v>2.4</v>
      </c>
      <c r="S27" s="166">
        <f>T27*0.96</f>
        <v>0</v>
      </c>
      <c r="T27" s="166">
        <f t="shared" ref="T27" si="140">U27*0.96</f>
        <v>0</v>
      </c>
      <c r="U27" s="166"/>
      <c r="V27" s="166">
        <f t="shared" si="32"/>
        <v>2.88</v>
      </c>
      <c r="W27" s="166">
        <v>3</v>
      </c>
      <c r="X27" s="166">
        <f>Y27*0.96</f>
        <v>0</v>
      </c>
      <c r="Y27" s="166">
        <f t="shared" ref="Y27" si="141">Z27*0.96</f>
        <v>0</v>
      </c>
      <c r="Z27" s="166"/>
      <c r="AA27" s="166">
        <f t="shared" si="33"/>
        <v>3.456</v>
      </c>
      <c r="AB27" s="166">
        <v>3.6</v>
      </c>
      <c r="AC27" s="166">
        <f>AD27*0.96</f>
        <v>0</v>
      </c>
      <c r="AD27" s="166">
        <f t="shared" ref="AD27" si="142">AE27*0.96</f>
        <v>0</v>
      </c>
      <c r="AE27" s="166"/>
      <c r="AG27" s="154">
        <v>113</v>
      </c>
      <c r="AH27" s="167">
        <v>20</v>
      </c>
      <c r="AI27" s="167">
        <v>825</v>
      </c>
      <c r="AJ27" s="167">
        <v>550</v>
      </c>
    </row>
    <row r="28" spans="1:36" ht="13.2" customHeight="1">
      <c r="A28" s="168" t="s">
        <v>102</v>
      </c>
      <c r="B28" s="166">
        <f t="shared" si="27"/>
        <v>1.3439999999999999</v>
      </c>
      <c r="C28" s="166">
        <v>1.4</v>
      </c>
      <c r="D28" s="166">
        <f>E28*0.96</f>
        <v>0</v>
      </c>
      <c r="E28" s="166">
        <f t="shared" si="110"/>
        <v>0</v>
      </c>
      <c r="F28" s="166"/>
      <c r="G28" s="166">
        <f t="shared" si="28"/>
        <v>1.6319999999999999</v>
      </c>
      <c r="H28" s="166">
        <v>1.7</v>
      </c>
      <c r="I28" s="166">
        <f>J28*0.96</f>
        <v>0</v>
      </c>
      <c r="J28" s="166">
        <f t="shared" si="111"/>
        <v>0</v>
      </c>
      <c r="K28" s="166"/>
      <c r="L28" s="166">
        <f t="shared" si="29"/>
        <v>2.016</v>
      </c>
      <c r="M28" s="166">
        <v>2.1</v>
      </c>
      <c r="N28" s="166">
        <f>O28*0.96</f>
        <v>0</v>
      </c>
      <c r="O28" s="166">
        <f t="shared" si="112"/>
        <v>0</v>
      </c>
      <c r="P28" s="166"/>
      <c r="Q28" s="166">
        <f t="shared" si="30"/>
        <v>2.3039999999999998</v>
      </c>
      <c r="R28" s="166">
        <v>2.4</v>
      </c>
      <c r="S28" s="166">
        <f>T28*0.96</f>
        <v>0</v>
      </c>
      <c r="T28" s="166">
        <f t="shared" si="113"/>
        <v>0</v>
      </c>
      <c r="U28" s="166"/>
      <c r="V28" s="166">
        <f t="shared" si="32"/>
        <v>2.88</v>
      </c>
      <c r="W28" s="166">
        <v>3</v>
      </c>
      <c r="X28" s="166">
        <f>Y28*0.96</f>
        <v>0</v>
      </c>
      <c r="Y28" s="166">
        <f t="shared" si="114"/>
        <v>0</v>
      </c>
      <c r="Z28" s="166"/>
      <c r="AA28" s="166">
        <f t="shared" si="33"/>
        <v>3.456</v>
      </c>
      <c r="AB28" s="166">
        <v>3.6</v>
      </c>
      <c r="AC28" s="166">
        <f>AD28*0.96</f>
        <v>0</v>
      </c>
      <c r="AD28" s="166">
        <f t="shared" si="115"/>
        <v>0</v>
      </c>
      <c r="AE28" s="166"/>
      <c r="AG28" s="154">
        <v>116</v>
      </c>
      <c r="AH28" s="167">
        <v>20</v>
      </c>
      <c r="AI28" s="167">
        <v>825</v>
      </c>
      <c r="AJ28" s="167">
        <v>550</v>
      </c>
    </row>
    <row r="29" spans="1:36" ht="13.2" customHeight="1">
      <c r="A29" s="168" t="s">
        <v>125</v>
      </c>
      <c r="B29" s="166">
        <f t="shared" si="27"/>
        <v>1.3439999999999999</v>
      </c>
      <c r="C29" s="166">
        <v>1.4</v>
      </c>
      <c r="D29" s="166">
        <f>E29*0.96</f>
        <v>0</v>
      </c>
      <c r="E29" s="166">
        <f t="shared" si="110"/>
        <v>0</v>
      </c>
      <c r="F29" s="166"/>
      <c r="G29" s="166">
        <f t="shared" si="28"/>
        <v>0</v>
      </c>
      <c r="H29" s="166">
        <f>I29*0.96</f>
        <v>0</v>
      </c>
      <c r="I29" s="166">
        <f>J29*0.96</f>
        <v>0</v>
      </c>
      <c r="J29" s="166">
        <f t="shared" si="111"/>
        <v>0</v>
      </c>
      <c r="K29" s="166"/>
      <c r="L29" s="166">
        <f t="shared" si="29"/>
        <v>1.92</v>
      </c>
      <c r="M29" s="166">
        <v>2</v>
      </c>
      <c r="N29" s="166">
        <f>O29*0.96</f>
        <v>0</v>
      </c>
      <c r="O29" s="166">
        <f t="shared" si="112"/>
        <v>0</v>
      </c>
      <c r="P29" s="166"/>
      <c r="Q29" s="166">
        <f t="shared" si="30"/>
        <v>0</v>
      </c>
      <c r="R29" s="166">
        <f>S29*0.96</f>
        <v>0</v>
      </c>
      <c r="S29" s="166">
        <f>T29*0.96</f>
        <v>0</v>
      </c>
      <c r="T29" s="166">
        <f t="shared" si="113"/>
        <v>0</v>
      </c>
      <c r="U29" s="166"/>
      <c r="V29" s="166">
        <f t="shared" si="32"/>
        <v>3.0720000000000001</v>
      </c>
      <c r="W29" s="166">
        <v>3.2</v>
      </c>
      <c r="X29" s="166">
        <f>Y29*0.96</f>
        <v>0</v>
      </c>
      <c r="Y29" s="166">
        <f t="shared" si="114"/>
        <v>0</v>
      </c>
      <c r="Z29" s="166"/>
      <c r="AA29" s="166">
        <f t="shared" si="33"/>
        <v>0</v>
      </c>
      <c r="AB29" s="166">
        <f>AC29*0.96</f>
        <v>0</v>
      </c>
      <c r="AC29" s="166">
        <f>AD29*0.96</f>
        <v>0</v>
      </c>
      <c r="AD29" s="166">
        <f t="shared" si="115"/>
        <v>0</v>
      </c>
      <c r="AE29" s="166"/>
      <c r="AG29" s="154">
        <v>90</v>
      </c>
      <c r="AH29" s="167">
        <v>18</v>
      </c>
      <c r="AI29" s="170">
        <v>620</v>
      </c>
      <c r="AJ29" s="170">
        <v>440</v>
      </c>
    </row>
    <row r="30" spans="1:36" ht="13.2" customHeight="1">
      <c r="A30" s="168" t="s">
        <v>126</v>
      </c>
      <c r="B30" s="166">
        <f t="shared" si="27"/>
        <v>1.3439999999999999</v>
      </c>
      <c r="C30" s="166">
        <v>1.4</v>
      </c>
      <c r="D30" s="166">
        <f>E30*0.96</f>
        <v>0</v>
      </c>
      <c r="E30" s="166">
        <f t="shared" si="110"/>
        <v>0</v>
      </c>
      <c r="F30" s="166"/>
      <c r="G30" s="166">
        <f t="shared" si="28"/>
        <v>0</v>
      </c>
      <c r="H30" s="166">
        <f>I30*0.96</f>
        <v>0</v>
      </c>
      <c r="I30" s="166">
        <f>J30*0.96</f>
        <v>0</v>
      </c>
      <c r="J30" s="166">
        <f t="shared" si="111"/>
        <v>0</v>
      </c>
      <c r="K30" s="166"/>
      <c r="L30" s="166">
        <f t="shared" si="29"/>
        <v>1.92</v>
      </c>
      <c r="M30" s="166">
        <v>2</v>
      </c>
      <c r="N30" s="166">
        <f>O30*0.96</f>
        <v>0</v>
      </c>
      <c r="O30" s="166">
        <f t="shared" si="112"/>
        <v>0</v>
      </c>
      <c r="P30" s="166"/>
      <c r="Q30" s="166">
        <f t="shared" si="30"/>
        <v>0</v>
      </c>
      <c r="R30" s="166">
        <f>S30*0.96</f>
        <v>0</v>
      </c>
      <c r="S30" s="166">
        <f>T30*0.96</f>
        <v>0</v>
      </c>
      <c r="T30" s="166">
        <f t="shared" si="113"/>
        <v>0</v>
      </c>
      <c r="U30" s="166"/>
      <c r="V30" s="166">
        <f t="shared" si="32"/>
        <v>3.0720000000000001</v>
      </c>
      <c r="W30" s="166">
        <v>3.2</v>
      </c>
      <c r="X30" s="166">
        <f>Y30*0.96</f>
        <v>0</v>
      </c>
      <c r="Y30" s="166">
        <f t="shared" si="114"/>
        <v>0</v>
      </c>
      <c r="Z30" s="166"/>
      <c r="AA30" s="166">
        <f t="shared" si="33"/>
        <v>0</v>
      </c>
      <c r="AB30" s="166">
        <f>AC30*0.96</f>
        <v>0</v>
      </c>
      <c r="AC30" s="166">
        <f>AD30*0.96</f>
        <v>0</v>
      </c>
      <c r="AD30" s="166">
        <f t="shared" si="115"/>
        <v>0</v>
      </c>
      <c r="AE30" s="166"/>
      <c r="AG30" s="154">
        <v>90</v>
      </c>
      <c r="AH30" s="167">
        <v>18</v>
      </c>
      <c r="AI30" s="170">
        <v>720</v>
      </c>
      <c r="AJ30" s="170">
        <v>510</v>
      </c>
    </row>
  </sheetData>
  <sheetProtection algorithmName="SHA-512" hashValue="g4rYwbemCbgQ4DK61QeWVBQqB1FasedeCG//c32eMWmJn4wgKmx1UBsvdGup6GQXiQgVEg8exkPIhyvzw8r6XA==" saltValue="QLgkfxNQdR1vBLiHhE2o4Q==" spinCount="100000" sheet="1" objects="1" scenarios="1" selectLockedCells="1" selectUnlockedCells="1"/>
  <mergeCells count="7">
    <mergeCell ref="AI1:AJ1"/>
    <mergeCell ref="AA1:AE1"/>
    <mergeCell ref="B1:F1"/>
    <mergeCell ref="G1:K1"/>
    <mergeCell ref="L1:P1"/>
    <mergeCell ref="Q1:U1"/>
    <mergeCell ref="V1:Z1"/>
  </mergeCells>
  <phoneticPr fontId="16"/>
  <pageMargins left="0.75" right="0.75" top="1" bottom="1" header="0.51111111111111107" footer="0.51111111111111107"/>
  <pageSetup paperSize="9" scale="34" firstPageNumber="4294963191"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17"/>
  <sheetViews>
    <sheetView workbookViewId="0"/>
  </sheetViews>
  <sheetFormatPr defaultColWidth="9" defaultRowHeight="13.2"/>
  <cols>
    <col min="1" max="1" width="14" customWidth="1"/>
    <col min="2" max="2" width="8.21875" customWidth="1"/>
    <col min="3" max="3" width="8.33203125" style="2" customWidth="1"/>
    <col min="4" max="4" width="8.6640625" style="2" customWidth="1"/>
    <col min="6" max="6" width="13.88671875" customWidth="1"/>
  </cols>
  <sheetData>
    <row r="1" spans="1:10">
      <c r="B1" s="1" t="s">
        <v>57</v>
      </c>
      <c r="C1" s="15" t="s">
        <v>58</v>
      </c>
      <c r="D1" s="15" t="s">
        <v>59</v>
      </c>
      <c r="F1" s="1" t="s">
        <v>111</v>
      </c>
      <c r="G1" s="87" t="s">
        <v>112</v>
      </c>
    </row>
    <row r="2" spans="1:10" ht="20.100000000000001" customHeight="1">
      <c r="A2" s="4" t="s">
        <v>60</v>
      </c>
      <c r="B2" s="4" t="s">
        <v>61</v>
      </c>
      <c r="C2" s="7" t="s">
        <v>62</v>
      </c>
      <c r="D2" s="8">
        <v>1.4</v>
      </c>
      <c r="F2" s="3" t="s">
        <v>63</v>
      </c>
      <c r="G2" s="3">
        <v>333</v>
      </c>
    </row>
    <row r="3" spans="1:10" ht="20.100000000000001" customHeight="1">
      <c r="A3" s="4" t="s">
        <v>64</v>
      </c>
      <c r="B3" s="4" t="s">
        <v>65</v>
      </c>
      <c r="C3" s="8">
        <v>1.59</v>
      </c>
      <c r="D3" s="8">
        <v>1.83</v>
      </c>
      <c r="F3" s="3" t="s">
        <v>87</v>
      </c>
      <c r="G3" s="3">
        <v>285</v>
      </c>
    </row>
    <row r="4" spans="1:10" ht="20.100000000000001" customHeight="1">
      <c r="A4" s="4" t="s">
        <v>67</v>
      </c>
      <c r="B4" s="4" t="s">
        <v>68</v>
      </c>
      <c r="C4" s="8" t="s">
        <v>69</v>
      </c>
      <c r="D4" s="8">
        <v>2.37</v>
      </c>
      <c r="F4" s="3" t="s">
        <v>66</v>
      </c>
      <c r="G4" s="3">
        <v>250</v>
      </c>
      <c r="I4" s="185" t="s">
        <v>206</v>
      </c>
      <c r="J4" s="184" t="s">
        <v>207</v>
      </c>
    </row>
    <row r="5" spans="1:10" ht="20.100000000000001" customHeight="1">
      <c r="A5" s="4" t="s">
        <v>98</v>
      </c>
      <c r="B5" s="4" t="s">
        <v>99</v>
      </c>
      <c r="C5" s="8">
        <v>3.17</v>
      </c>
      <c r="D5" s="8">
        <v>3.64</v>
      </c>
      <c r="F5" s="3" t="s">
        <v>88</v>
      </c>
      <c r="G5" s="3">
        <v>222</v>
      </c>
      <c r="I5" s="185" t="s">
        <v>201</v>
      </c>
      <c r="J5" s="184" t="s">
        <v>202</v>
      </c>
    </row>
    <row r="6" spans="1:10" ht="20.100000000000001" customHeight="1">
      <c r="A6" s="4" t="s">
        <v>71</v>
      </c>
      <c r="B6" s="4" t="s">
        <v>72</v>
      </c>
      <c r="C6" s="8">
        <v>2.85</v>
      </c>
      <c r="D6" s="8">
        <v>3.3</v>
      </c>
      <c r="F6" s="3" t="s">
        <v>70</v>
      </c>
      <c r="G6" s="3">
        <v>200</v>
      </c>
      <c r="I6" t="s">
        <v>200</v>
      </c>
      <c r="J6" s="184" t="s">
        <v>205</v>
      </c>
    </row>
    <row r="7" spans="1:10" ht="20.100000000000001" customHeight="1">
      <c r="A7" s="4" t="s">
        <v>73</v>
      </c>
      <c r="B7" s="4" t="s">
        <v>74</v>
      </c>
      <c r="C7" s="8" t="s">
        <v>75</v>
      </c>
      <c r="D7" s="8">
        <v>5.31</v>
      </c>
      <c r="F7" s="3" t="s">
        <v>133</v>
      </c>
      <c r="G7" s="3">
        <v>177</v>
      </c>
      <c r="J7" s="184" t="s">
        <v>204</v>
      </c>
    </row>
    <row r="8" spans="1:10" ht="20.100000000000001" customHeight="1">
      <c r="A8" s="4" t="s">
        <v>13</v>
      </c>
      <c r="B8" s="4" t="s">
        <v>77</v>
      </c>
      <c r="C8" s="8" t="s">
        <v>78</v>
      </c>
      <c r="D8" s="8">
        <v>4.0599999999999996</v>
      </c>
      <c r="F8" s="3" t="s">
        <v>76</v>
      </c>
      <c r="G8" s="3">
        <v>167</v>
      </c>
      <c r="J8" s="184" t="s">
        <v>203</v>
      </c>
    </row>
    <row r="9" spans="1:10" ht="20.100000000000001" customHeight="1">
      <c r="A9" s="4" t="s">
        <v>80</v>
      </c>
      <c r="B9" s="4" t="s">
        <v>81</v>
      </c>
      <c r="C9" s="8">
        <v>6.01</v>
      </c>
      <c r="D9" s="8">
        <v>6.81</v>
      </c>
      <c r="F9" s="3" t="s">
        <v>89</v>
      </c>
      <c r="G9" s="3">
        <v>154</v>
      </c>
    </row>
    <row r="10" spans="1:10" ht="20.100000000000001" customHeight="1">
      <c r="A10" s="5" t="s">
        <v>178</v>
      </c>
      <c r="B10" s="5" t="s">
        <v>84</v>
      </c>
      <c r="C10" s="8">
        <v>1.22</v>
      </c>
      <c r="D10" s="8">
        <v>1.4</v>
      </c>
      <c r="F10" s="3" t="s">
        <v>79</v>
      </c>
      <c r="G10" s="3">
        <v>143</v>
      </c>
    </row>
    <row r="11" spans="1:10" ht="20.100000000000001" customHeight="1">
      <c r="A11" s="6" t="s">
        <v>179</v>
      </c>
      <c r="B11" s="6" t="s">
        <v>83</v>
      </c>
      <c r="C11" s="8">
        <v>1.62</v>
      </c>
      <c r="D11" s="8">
        <v>1.85</v>
      </c>
      <c r="F11" s="3" t="s">
        <v>90</v>
      </c>
      <c r="G11" s="3">
        <v>133</v>
      </c>
    </row>
    <row r="12" spans="1:10" ht="20.100000000000001" customHeight="1">
      <c r="A12" s="6" t="s">
        <v>180</v>
      </c>
      <c r="B12" s="6" t="s">
        <v>85</v>
      </c>
      <c r="C12" s="8">
        <v>2.37</v>
      </c>
      <c r="D12" s="8">
        <v>2.74</v>
      </c>
      <c r="F12" s="3" t="s">
        <v>82</v>
      </c>
      <c r="G12" s="3">
        <v>125</v>
      </c>
    </row>
    <row r="13" spans="1:10" ht="20.25" customHeight="1">
      <c r="A13" s="6" t="s">
        <v>181</v>
      </c>
      <c r="B13" s="6" t="s">
        <v>86</v>
      </c>
      <c r="C13" s="8">
        <v>2.97</v>
      </c>
      <c r="D13" s="8">
        <v>3.41</v>
      </c>
    </row>
    <row r="14" spans="1:10" ht="18.600000000000001" customHeight="1">
      <c r="A14" s="4" t="s">
        <v>191</v>
      </c>
      <c r="B14" s="7" t="s">
        <v>182</v>
      </c>
      <c r="C14" s="7" t="s">
        <v>183</v>
      </c>
      <c r="D14" s="7"/>
    </row>
    <row r="15" spans="1:10" ht="16.2" customHeight="1">
      <c r="A15" s="4" t="s">
        <v>184</v>
      </c>
      <c r="B15" s="8" t="s">
        <v>185</v>
      </c>
      <c r="C15" s="8" t="s">
        <v>186</v>
      </c>
      <c r="D15" s="8"/>
    </row>
    <row r="16" spans="1:10" ht="16.2" customHeight="1">
      <c r="A16" s="4" t="s">
        <v>187</v>
      </c>
      <c r="B16" s="8" t="s">
        <v>188</v>
      </c>
      <c r="C16" s="8" t="s">
        <v>189</v>
      </c>
      <c r="D16" s="8"/>
    </row>
    <row r="17" spans="1:4" ht="17.399999999999999" customHeight="1">
      <c r="A17" s="4" t="s">
        <v>190</v>
      </c>
      <c r="B17" s="8">
        <v>1.4</v>
      </c>
      <c r="C17" s="8">
        <v>1.8</v>
      </c>
      <c r="D17" s="8"/>
    </row>
  </sheetData>
  <sheetProtection algorithmName="SHA-512" hashValue="OldtFAQAwZg3CAEW0AkftVuoI7zPODjcpy3AIWuTc+expHqOHL7zr8O/InoEj7tSgRTeDZilb2+78omqoJx/Kg==" saltValue="RMJeGfCwYhJAWLraQAeyQQ==" spinCount="100000" sheet="1" objects="1" scenarios="1" selectLockedCells="1" selectUnlockedCells="1"/>
  <phoneticPr fontId="16"/>
  <pageMargins left="0.75" right="0.75" top="1" bottom="1" header="0.51111111111111107" footer="0.51111111111111107"/>
  <pageSetup paperSize="9" firstPageNumber="4294963191"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5F734-48C7-4469-9506-DA98DA018E7C}">
  <sheetPr codeName="Sheet5"/>
  <dimension ref="B1:G15"/>
  <sheetViews>
    <sheetView showGridLines="0" workbookViewId="0">
      <selection activeCell="D15" sqref="D15"/>
    </sheetView>
  </sheetViews>
  <sheetFormatPr defaultRowHeight="13.2"/>
  <cols>
    <col min="1" max="1" width="8.88671875" style="172"/>
    <col min="2" max="2" width="19.21875" style="172" customWidth="1"/>
    <col min="3" max="16384" width="8.88671875" style="172"/>
  </cols>
  <sheetData>
    <row r="1" spans="2:7">
      <c r="B1" s="174" t="s">
        <v>176</v>
      </c>
    </row>
    <row r="4" spans="2:7">
      <c r="B4" s="172" t="s">
        <v>157</v>
      </c>
      <c r="D4" s="259" t="s">
        <v>177</v>
      </c>
      <c r="E4" s="259"/>
      <c r="F4" s="259"/>
      <c r="G4" s="259"/>
    </row>
    <row r="5" spans="2:7">
      <c r="B5" s="172" t="s">
        <v>158</v>
      </c>
      <c r="D5" s="173">
        <v>2500</v>
      </c>
      <c r="E5" s="172" t="s">
        <v>171</v>
      </c>
      <c r="F5" s="174" t="s">
        <v>174</v>
      </c>
    </row>
    <row r="6" spans="2:7">
      <c r="B6" s="172" t="s">
        <v>165</v>
      </c>
      <c r="C6" s="172" t="s">
        <v>159</v>
      </c>
      <c r="D6" s="173">
        <v>1.5</v>
      </c>
      <c r="E6" s="172" t="s">
        <v>168</v>
      </c>
      <c r="F6" s="174"/>
    </row>
    <row r="7" spans="2:7">
      <c r="C7" s="172" t="s">
        <v>160</v>
      </c>
      <c r="D7" s="173">
        <v>1.7</v>
      </c>
      <c r="E7" s="172" t="s">
        <v>168</v>
      </c>
      <c r="F7" s="174" t="s">
        <v>175</v>
      </c>
    </row>
    <row r="8" spans="2:7">
      <c r="C8" s="172" t="s">
        <v>161</v>
      </c>
      <c r="D8" s="173">
        <v>2.1</v>
      </c>
      <c r="E8" s="172" t="s">
        <v>168</v>
      </c>
      <c r="F8" s="174"/>
    </row>
    <row r="9" spans="2:7">
      <c r="C9" s="172" t="s">
        <v>162</v>
      </c>
      <c r="D9" s="173">
        <v>2.5</v>
      </c>
      <c r="E9" s="172" t="s">
        <v>168</v>
      </c>
      <c r="F9" s="174"/>
    </row>
    <row r="10" spans="2:7">
      <c r="C10" s="172" t="s">
        <v>163</v>
      </c>
      <c r="D10" s="173">
        <v>3.1</v>
      </c>
      <c r="E10" s="172" t="s">
        <v>168</v>
      </c>
      <c r="F10" s="174"/>
    </row>
    <row r="11" spans="2:7">
      <c r="C11" s="172" t="s">
        <v>164</v>
      </c>
      <c r="D11" s="173">
        <v>3.6</v>
      </c>
      <c r="E11" s="172" t="s">
        <v>168</v>
      </c>
      <c r="F11" s="174"/>
    </row>
    <row r="12" spans="2:7">
      <c r="B12" s="172" t="s">
        <v>166</v>
      </c>
      <c r="D12" s="173">
        <v>95</v>
      </c>
      <c r="E12" s="172" t="s">
        <v>97</v>
      </c>
      <c r="F12" s="174" t="s">
        <v>173</v>
      </c>
    </row>
    <row r="13" spans="2:7">
      <c r="B13" s="172" t="s">
        <v>167</v>
      </c>
      <c r="C13" s="172" t="s">
        <v>118</v>
      </c>
      <c r="D13" s="173">
        <v>560</v>
      </c>
      <c r="E13" s="172" t="s">
        <v>169</v>
      </c>
      <c r="F13" s="174" t="s">
        <v>172</v>
      </c>
    </row>
    <row r="14" spans="2:7">
      <c r="C14" s="172" t="s">
        <v>119</v>
      </c>
      <c r="D14" s="173">
        <v>400</v>
      </c>
      <c r="E14" s="172" t="s">
        <v>169</v>
      </c>
      <c r="F14" s="174"/>
    </row>
    <row r="15" spans="2:7">
      <c r="B15" s="172" t="s">
        <v>109</v>
      </c>
      <c r="D15" s="173">
        <v>18</v>
      </c>
      <c r="E15" s="172" t="s">
        <v>170</v>
      </c>
      <c r="F15" s="174"/>
    </row>
  </sheetData>
  <sheetProtection algorithmName="SHA-512" hashValue="3vPwp4IcJ8hec/WiDdgScqBEzc2MF/w/1GR7ruOfZwwd1tltDgO58Dso/BvcXD4WO4eGvuH1NPw5Itz8CyBIUw==" saltValue="/tjIbW8vvivhbXHr6cCsBA==" spinCount="100000" sheet="1" objects="1" scenarios="1" selectLockedCells="1"/>
  <mergeCells count="1">
    <mergeCell ref="D4:G4"/>
  </mergeCells>
  <phoneticPr fontId="16"/>
  <dataValidations count="1">
    <dataValidation type="list" allowBlank="1" showInputMessage="1" showErrorMessage="1" sqref="D5" xr:uid="{5E7B5F6E-9D09-4731-8EA5-BA2C18A42C03}">
      <formula1>"2400,2500,2600,2700,2800"</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Button 2">
              <controlPr defaultSize="0" print="0" autoFill="0" autoPict="0" macro="[0]!追加_Click">
                <anchor moveWithCells="1" sizeWithCells="1">
                  <from>
                    <xdr:col>3</xdr:col>
                    <xdr:colOff>0</xdr:colOff>
                    <xdr:row>18</xdr:row>
                    <xdr:rowOff>0</xdr:rowOff>
                  </from>
                  <to>
                    <xdr:col>5</xdr:col>
                    <xdr:colOff>579120</xdr:colOff>
                    <xdr:row>20</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■散布量計算シート</vt:lpstr>
      <vt:lpstr>作業シート</vt:lpstr>
      <vt:lpstr>車速表</vt:lpstr>
      <vt:lpstr>吐出量表</vt:lpstr>
      <vt:lpstr>追加登録</vt:lpstr>
      <vt:lpstr>■散布量計算シート!Print_Area</vt:lpstr>
      <vt:lpstr>作業シート!Print_Area</vt:lpstr>
      <vt:lpstr>ノズル吐出量</vt:lpstr>
      <vt:lpstr>散布幅</vt:lpstr>
      <vt:lpstr>走行距離</vt:lpstr>
      <vt:lpstr>噴板名称</vt:lpstr>
    </vt:vector>
  </TitlesOfParts>
  <Manager/>
  <Company>PC</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USER_SYSTEM_01</cp:lastModifiedBy>
  <cp:revision/>
  <cp:lastPrinted>2019-12-16T03:03:33Z</cp:lastPrinted>
  <dcterms:created xsi:type="dcterms:W3CDTF">2011-09-29T07:23:33Z</dcterms:created>
  <dcterms:modified xsi:type="dcterms:W3CDTF">2020-02-25T07:50:50Z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